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8860" windowHeight="6750"/>
  </bookViews>
  <sheets>
    <sheet name="Grudzień 2019" sheetId="11" r:id="rId1"/>
  </sheets>
  <externalReferences>
    <externalReference r:id="rId2"/>
  </externalReferences>
  <definedNames>
    <definedName name="_xlnm._FilterDatabase" localSheetId="0" hidden="1">'Grudzień 2019'!$A$4:$IL$507</definedName>
    <definedName name="_xlnm.Print_Area" localSheetId="0">'Grudzień 2019'!$A$1:$AC$590</definedName>
    <definedName name="realizacje">[1]Listy!$I$2:$I$13</definedName>
    <definedName name="robota">[1]Listy!$M$2:$M$5</definedName>
    <definedName name="tu" localSheetId="0">#REF!</definedName>
    <definedName name="_xlnm.Print_Titles" localSheetId="0">'Grudzień 2019'!$3:$4</definedName>
    <definedName name="Z_0DF00089_17B2_459C_9EA2_2DAD554DE6B4_.wvu.FilterData" localSheetId="0" hidden="1">'Grudzień 2019'!$A$4:$IM$507</definedName>
    <definedName name="Z_124ECDE6_0416_4BD2_AB8F_772BED097B34_.wvu.Cols" localSheetId="0" hidden="1">'Grudzień 2019'!$F:$L</definedName>
    <definedName name="Z_124ECDE6_0416_4BD2_AB8F_772BED097B34_.wvu.FilterData" localSheetId="0" hidden="1">'Grudzień 2019'!$A$4:$IL$507</definedName>
    <definedName name="Z_18AE6EAE_0F0A_4846_A69B_6F0A4ACCB07F_.wvu.Cols" localSheetId="0" hidden="1">'Grudzień 2019'!$G:$H,'Grudzień 2019'!$J:$L</definedName>
    <definedName name="Z_18AE6EAE_0F0A_4846_A69B_6F0A4ACCB07F_.wvu.FilterData" localSheetId="0" hidden="1">'Grudzień 2019'!$A$4:$IL$507</definedName>
    <definedName name="Z_641D90E0_61E0_45A7_845B_D5C7FBF9DA4D_.wvu.FilterData" localSheetId="0" hidden="1">'Grudzień 2019'!$A$4:$IL$507</definedName>
    <definedName name="Z_75FF799D_77D1_49C2_9044_C3D3A4453E17_.wvu.FilterData" localSheetId="0" hidden="1">'Grudzień 2019'!$A$4:$IL$507</definedName>
    <definedName name="Z_78CA28D9_2AE1_4ACE_90DA_3F97BC54FF6F_.wvu.Cols" localSheetId="0" hidden="1">'Grudzień 2019'!$C:$L</definedName>
    <definedName name="Z_78CA28D9_2AE1_4ACE_90DA_3F97BC54FF6F_.wvu.FilterData" localSheetId="0" hidden="1">'Grudzień 2019'!$A$4:$IL$507</definedName>
    <definedName name="Z_8B66C9B8_A46F_4A03_89E7_1BD0A970B702_.wvu.FilterData" localSheetId="0" hidden="1">'Grudzień 2019'!$A$4:$IL$507</definedName>
    <definedName name="Z_BEAA7B2E_C361_4F67_8E31_BED3C841E2B7_.wvu.Cols" localSheetId="0" hidden="1">'Grudzień 2019'!$E:$E,'Grudzień 2019'!$G:$H,'Grudzień 2019'!$J:$L</definedName>
    <definedName name="Z_BEAA7B2E_C361_4F67_8E31_BED3C841E2B7_.wvu.FilterData" localSheetId="0" hidden="1">'Grudzień 2019'!$A$4:$IL$507</definedName>
    <definedName name="Z_D3356158_33EE_488B_AF6F_AB65C0C47B1F_.wvu.Cols" localSheetId="0" hidden="1">'Grudzień 2019'!$E:$E,'Grudzień 2019'!$G:$H,'Grudzień 2019'!$J:$L</definedName>
    <definedName name="Z_D3356158_33EE_488B_AF6F_AB65C0C47B1F_.wvu.FilterData" localSheetId="0" hidden="1">'Grudzień 2019'!$A$4:$IL$507</definedName>
    <definedName name="Z_D7B60B91_AC8B_489B_A8A0_809CDF29D311_.wvu.FilterData" localSheetId="0" hidden="1">'Grudzień 2019'!$A$4:$IL$507</definedName>
    <definedName name="Z_E665B884_3974_4E9F_8D9E_E3411BF800A1_.wvu.FilterData" localSheetId="0" hidden="1">'Grudzień 2019'!$A$4:$IL$507</definedName>
    <definedName name="Z_ED211EBA_E518_4C0C_BCC8_BA697CDE1468_.wvu.Cols" localSheetId="0" hidden="1">'Grudzień 2019'!$E:$E,'Grudzień 2019'!$G:$H,'Grudzień 2019'!$J:$L</definedName>
    <definedName name="Z_ED211EBA_E518_4C0C_BCC8_BA697CDE1468_.wvu.FilterData" localSheetId="0" hidden="1">'Grudzień 2019'!$A$4:$IL$507</definedName>
    <definedName name="Z_F303E5FC_F7BE_48B2_AF1A_6402ED48E307_.wvu.FilterData" localSheetId="0" hidden="1">'Grudzień 2019'!$A$4:$IL$507</definedName>
    <definedName name="Z_F3BAF276_7867_4DBA_8B3D_BE93468BEEC8_.wvu.Cols" localSheetId="0" hidden="1">'Grudzień 2019'!$J:$L</definedName>
    <definedName name="Z_F3BAF276_7867_4DBA_8B3D_BE93468BEEC8_.wvu.FilterData" localSheetId="0" hidden="1">'Grudzień 2019'!$A$4:$IL$507</definedName>
    <definedName name="Z_FBCA4904_57A4_4364_89E1_75F2C9F7D5EB_.wvu.FilterData" localSheetId="0" hidden="1">#REF!</definedName>
    <definedName name="Z_FBCA4904_57A4_4364_89E1_75F2C9F7D5EB_.wvu.PrintArea" localSheetId="0" hidden="1">#REF!</definedName>
    <definedName name="Z_FBCA4904_57A4_4364_89E1_75F2C9F7D5EB_.wvu.PrintTitles" localSheetId="0" hidden="1">#REF!</definedName>
    <definedName name="Z_FBCA4904_57A4_4364_89E1_75F2C9F7D5EB_.wvu.Rows" localSheetId="0" hidden="1">#REF!</definedName>
  </definedNames>
  <calcPr calcId="124519"/>
  <customWorkbookViews>
    <customWorkbookView name="umilni01 - Widok osobisty" guid="{124ECDE6-0416-4BD2-AB8F-772BED097B34}" mergeInterval="0" personalView="1" maximized="1" xWindow="1" yWindow="1" windowWidth="1916" windowHeight="786" activeSheetId="7"/>
    <customWorkbookView name="umjoni01 - Widok osobisty" guid="{78CA28D9-2AE1-4ACE-90DA-3F97BC54FF6F}" mergeInterval="0" personalView="1" maximized="1" xWindow="1" yWindow="1" windowWidth="1920" windowHeight="851" activeSheetId="7"/>
    <customWorkbookView name="umewka02 - Widok osobisty" guid="{BEAA7B2E-C361-4F67-8E31-BED3C841E2B7}" mergeInterval="0" personalView="1" maximized="1" xWindow="1" yWindow="1" windowWidth="1916" windowHeight="851" activeSheetId="4"/>
    <customWorkbookView name="umalwa01 - Widok osobisty" guid="{ED211EBA-E518-4C0C-BCC8-BA697CDE1468}" mergeInterval="0" personalView="1" maximized="1" xWindow="1" yWindow="1" windowWidth="1920" windowHeight="851" activeSheetId="7"/>
    <customWorkbookView name="umizma01 - Widok osobisty" guid="{D3356158-33EE-488B-AF6F-AB65C0C47B1F}" mergeInterval="0" personalView="1" maximized="1" xWindow="1" yWindow="1" windowWidth="1920" windowHeight="851" activeSheetId="7"/>
    <customWorkbookView name="umbawo01 - Widok osobisty" guid="{F3BAF276-7867-4DBA-8B3D-BE93468BEEC8}" mergeInterval="0" personalView="1" maximized="1" xWindow="1" yWindow="1" windowWidth="1916" windowHeight="755" activeSheetId="7"/>
    <customWorkbookView name="umkahr01 - Widok osobisty" guid="{18AE6EAE-0F0A-4846-A69B-6F0A4ACCB07F}" mergeInterval="0" personalView="1" maximized="1" xWindow="1" yWindow="1" windowWidth="1920" windowHeight="809" activeSheetId="7"/>
  </customWorkbookViews>
</workbook>
</file>

<file path=xl/calcChain.xml><?xml version="1.0" encoding="utf-8"?>
<calcChain xmlns="http://schemas.openxmlformats.org/spreadsheetml/2006/main">
  <c r="I518" i="11"/>
  <c r="G574" l="1"/>
  <c r="H574"/>
  <c r="J574"/>
  <c r="K574"/>
  <c r="L574"/>
  <c r="S574"/>
  <c r="T574"/>
  <c r="U574"/>
  <c r="V574"/>
  <c r="W574"/>
  <c r="X574"/>
  <c r="Y574"/>
  <c r="Z574"/>
  <c r="AA574"/>
  <c r="AB574"/>
  <c r="AC574"/>
  <c r="G524"/>
  <c r="H524"/>
  <c r="J524"/>
  <c r="K524"/>
  <c r="L524"/>
  <c r="Q524"/>
  <c r="S524"/>
  <c r="T524"/>
  <c r="U524"/>
  <c r="V524"/>
  <c r="W524"/>
  <c r="X524"/>
  <c r="Y524"/>
  <c r="Z524"/>
  <c r="AA524"/>
  <c r="AB524"/>
  <c r="AC524"/>
  <c r="G586"/>
  <c r="H586"/>
  <c r="J586"/>
  <c r="K586"/>
  <c r="L586"/>
  <c r="N586"/>
  <c r="O586"/>
  <c r="Q586"/>
  <c r="S586"/>
  <c r="T586"/>
  <c r="U586"/>
  <c r="V586"/>
  <c r="W586"/>
  <c r="X586"/>
  <c r="Y586"/>
  <c r="Z586"/>
  <c r="AA586"/>
  <c r="AB586"/>
  <c r="AC586"/>
  <c r="R493"/>
  <c r="AD493" s="1"/>
  <c r="I493"/>
  <c r="AC492"/>
  <c r="AB492"/>
  <c r="AA492"/>
  <c r="Z492"/>
  <c r="Y492"/>
  <c r="X492"/>
  <c r="W492"/>
  <c r="V492"/>
  <c r="U492"/>
  <c r="T492"/>
  <c r="S492"/>
  <c r="Q492"/>
  <c r="P492"/>
  <c r="O492"/>
  <c r="N492"/>
  <c r="M492"/>
  <c r="L492"/>
  <c r="K492"/>
  <c r="J492"/>
  <c r="H492"/>
  <c r="G492"/>
  <c r="G494"/>
  <c r="H494"/>
  <c r="J494"/>
  <c r="K494"/>
  <c r="L494"/>
  <c r="N494"/>
  <c r="O494"/>
  <c r="Q494"/>
  <c r="S494"/>
  <c r="T494"/>
  <c r="U494"/>
  <c r="V494"/>
  <c r="W494"/>
  <c r="X494"/>
  <c r="Y494"/>
  <c r="Z494"/>
  <c r="AA494"/>
  <c r="AB494"/>
  <c r="AC494"/>
  <c r="M495"/>
  <c r="I495" s="1"/>
  <c r="P495"/>
  <c r="P494" s="1"/>
  <c r="R495"/>
  <c r="Q21"/>
  <c r="Q436"/>
  <c r="P436"/>
  <c r="Q435"/>
  <c r="P435"/>
  <c r="P17"/>
  <c r="P16"/>
  <c r="O16"/>
  <c r="P586" l="1"/>
  <c r="I492"/>
  <c r="R494"/>
  <c r="AD494" s="1"/>
  <c r="R492"/>
  <c r="AD492" s="1"/>
  <c r="F493"/>
  <c r="E492" s="1"/>
  <c r="M494"/>
  <c r="I494" s="1"/>
  <c r="AD495"/>
  <c r="F495" s="1"/>
  <c r="F492" l="1"/>
  <c r="E494"/>
  <c r="P91" l="1"/>
  <c r="O91"/>
  <c r="P160"/>
  <c r="P524" s="1"/>
  <c r="O438"/>
  <c r="P275"/>
  <c r="X53" l="1"/>
  <c r="W53"/>
  <c r="V53"/>
  <c r="U53"/>
  <c r="R97" l="1"/>
  <c r="I56" l="1"/>
  <c r="G522"/>
  <c r="H522"/>
  <c r="J522"/>
  <c r="K522"/>
  <c r="L522"/>
  <c r="N522"/>
  <c r="O522"/>
  <c r="P522"/>
  <c r="Q522"/>
  <c r="S522"/>
  <c r="T522"/>
  <c r="U522"/>
  <c r="V522"/>
  <c r="W522"/>
  <c r="X522"/>
  <c r="Y522"/>
  <c r="Z522"/>
  <c r="AA522"/>
  <c r="AB522"/>
  <c r="AC522"/>
  <c r="R56"/>
  <c r="AD56" s="1"/>
  <c r="F56" l="1"/>
  <c r="P277" l="1"/>
  <c r="O175" l="1"/>
  <c r="O176"/>
  <c r="O384"/>
  <c r="O357"/>
  <c r="O358"/>
  <c r="O354"/>
  <c r="O355"/>
  <c r="P130"/>
  <c r="O381"/>
  <c r="O382"/>
  <c r="Q109"/>
  <c r="P109"/>
  <c r="O109"/>
  <c r="P36"/>
  <c r="O36"/>
  <c r="O432"/>
  <c r="O574" s="1"/>
  <c r="O184"/>
  <c r="O185"/>
  <c r="O172"/>
  <c r="O524" s="1"/>
  <c r="O173"/>
  <c r="T91"/>
  <c r="S91"/>
  <c r="S92"/>
  <c r="Q91"/>
  <c r="P102"/>
  <c r="O102"/>
  <c r="T54"/>
  <c r="T53" s="1"/>
  <c r="S54"/>
  <c r="S53" s="1"/>
  <c r="Q54"/>
  <c r="Q53" s="1"/>
  <c r="P54"/>
  <c r="P53" s="1"/>
  <c r="O54"/>
  <c r="O53" s="1"/>
  <c r="O314" l="1"/>
  <c r="R164"/>
  <c r="AD164" s="1"/>
  <c r="I164"/>
  <c r="AC163"/>
  <c r="AB163"/>
  <c r="AA163"/>
  <c r="Z163"/>
  <c r="Y163"/>
  <c r="X163"/>
  <c r="W163"/>
  <c r="V163"/>
  <c r="U163"/>
  <c r="T163"/>
  <c r="S163"/>
  <c r="Q163"/>
  <c r="P163"/>
  <c r="O163"/>
  <c r="N163"/>
  <c r="M163"/>
  <c r="L163"/>
  <c r="K163"/>
  <c r="J163"/>
  <c r="H163"/>
  <c r="G163"/>
  <c r="P474"/>
  <c r="I163" l="1"/>
  <c r="R163"/>
  <c r="AD163" s="1"/>
  <c r="F164"/>
  <c r="F163" s="1"/>
  <c r="Q518"/>
  <c r="P518"/>
  <c r="R54"/>
  <c r="Q410"/>
  <c r="Q574" s="1"/>
  <c r="P410"/>
  <c r="P574" s="1"/>
  <c r="G525"/>
  <c r="H525"/>
  <c r="J525"/>
  <c r="K525"/>
  <c r="L525"/>
  <c r="O525"/>
  <c r="P525"/>
  <c r="Q525"/>
  <c r="S525"/>
  <c r="T525"/>
  <c r="U525"/>
  <c r="V525"/>
  <c r="W525"/>
  <c r="X525"/>
  <c r="Y525"/>
  <c r="Z525"/>
  <c r="AA525"/>
  <c r="AB525"/>
  <c r="AC525"/>
  <c r="G519"/>
  <c r="H519"/>
  <c r="J519"/>
  <c r="K519"/>
  <c r="L519"/>
  <c r="P519"/>
  <c r="Q519"/>
  <c r="T519"/>
  <c r="U519"/>
  <c r="V519"/>
  <c r="W519"/>
  <c r="X519"/>
  <c r="Y519"/>
  <c r="Z519"/>
  <c r="AA519"/>
  <c r="AB519"/>
  <c r="AC519"/>
  <c r="G518"/>
  <c r="H518"/>
  <c r="J518"/>
  <c r="K518"/>
  <c r="L518"/>
  <c r="S518"/>
  <c r="T518"/>
  <c r="U518"/>
  <c r="V518"/>
  <c r="W518"/>
  <c r="X518"/>
  <c r="Y518"/>
  <c r="Z518"/>
  <c r="AA518"/>
  <c r="AB518"/>
  <c r="AC518"/>
  <c r="AD141"/>
  <c r="I141"/>
  <c r="AD140"/>
  <c r="I140"/>
  <c r="AC139"/>
  <c r="AB139"/>
  <c r="AA139"/>
  <c r="Z139"/>
  <c r="Y139"/>
  <c r="X139"/>
  <c r="W139"/>
  <c r="V139"/>
  <c r="U139"/>
  <c r="T139"/>
  <c r="S139"/>
  <c r="Q139"/>
  <c r="P139"/>
  <c r="O139"/>
  <c r="N139"/>
  <c r="M139"/>
  <c r="L139"/>
  <c r="K139"/>
  <c r="J139"/>
  <c r="H139"/>
  <c r="G139"/>
  <c r="AD21"/>
  <c r="AD20"/>
  <c r="W19"/>
  <c r="AC19"/>
  <c r="AB19"/>
  <c r="AA19"/>
  <c r="Z19"/>
  <c r="Y19"/>
  <c r="X19"/>
  <c r="I21"/>
  <c r="I20"/>
  <c r="V19"/>
  <c r="U19"/>
  <c r="T19"/>
  <c r="S19"/>
  <c r="Q19"/>
  <c r="P19"/>
  <c r="O19"/>
  <c r="N19"/>
  <c r="M19"/>
  <c r="L19"/>
  <c r="K19"/>
  <c r="J19"/>
  <c r="H19"/>
  <c r="G19"/>
  <c r="G536"/>
  <c r="H536"/>
  <c r="J536"/>
  <c r="K536"/>
  <c r="L536"/>
  <c r="P536"/>
  <c r="Q536"/>
  <c r="S536"/>
  <c r="T536"/>
  <c r="U536"/>
  <c r="V536"/>
  <c r="W536"/>
  <c r="X536"/>
  <c r="Y536"/>
  <c r="Z536"/>
  <c r="AA536"/>
  <c r="AB536"/>
  <c r="AC536"/>
  <c r="R258"/>
  <c r="AD258" s="1"/>
  <c r="I258"/>
  <c r="AC257"/>
  <c r="AB257"/>
  <c r="AA257"/>
  <c r="Z257"/>
  <c r="Y257"/>
  <c r="X257"/>
  <c r="W257"/>
  <c r="V257"/>
  <c r="U257"/>
  <c r="T257"/>
  <c r="S257"/>
  <c r="Q257"/>
  <c r="P257"/>
  <c r="O257"/>
  <c r="N257"/>
  <c r="M257"/>
  <c r="R256"/>
  <c r="AD256" s="1"/>
  <c r="I256"/>
  <c r="AC255"/>
  <c r="AB255"/>
  <c r="AA255"/>
  <c r="Z255"/>
  <c r="Y255"/>
  <c r="X255"/>
  <c r="W255"/>
  <c r="V255"/>
  <c r="U255"/>
  <c r="T255"/>
  <c r="S255"/>
  <c r="Q255"/>
  <c r="P255"/>
  <c r="O255"/>
  <c r="N255"/>
  <c r="M255"/>
  <c r="G575"/>
  <c r="H575"/>
  <c r="J575"/>
  <c r="K575"/>
  <c r="L575"/>
  <c r="N575"/>
  <c r="O575"/>
  <c r="P575"/>
  <c r="Q575"/>
  <c r="S575"/>
  <c r="T575"/>
  <c r="U575"/>
  <c r="V575"/>
  <c r="W575"/>
  <c r="X575"/>
  <c r="Y575"/>
  <c r="Z575"/>
  <c r="AA575"/>
  <c r="AB575"/>
  <c r="AC575"/>
  <c r="R491"/>
  <c r="AD491" s="1"/>
  <c r="I491"/>
  <c r="AC490"/>
  <c r="AB490"/>
  <c r="AA490"/>
  <c r="Z490"/>
  <c r="Y490"/>
  <c r="X490"/>
  <c r="W490"/>
  <c r="V490"/>
  <c r="U490"/>
  <c r="T490"/>
  <c r="S490"/>
  <c r="Q490"/>
  <c r="P490"/>
  <c r="O490"/>
  <c r="N490"/>
  <c r="M490"/>
  <c r="L490"/>
  <c r="K490"/>
  <c r="J490"/>
  <c r="H490"/>
  <c r="G490"/>
  <c r="R254"/>
  <c r="AD254" s="1"/>
  <c r="I254"/>
  <c r="AC253"/>
  <c r="AB253"/>
  <c r="AA253"/>
  <c r="Z253"/>
  <c r="Y253"/>
  <c r="X253"/>
  <c r="W253"/>
  <c r="V253"/>
  <c r="U253"/>
  <c r="T253"/>
  <c r="S253"/>
  <c r="Q253"/>
  <c r="P253"/>
  <c r="O253"/>
  <c r="N253"/>
  <c r="M253"/>
  <c r="P526"/>
  <c r="Q526"/>
  <c r="S526"/>
  <c r="T526"/>
  <c r="U526"/>
  <c r="V526"/>
  <c r="W526"/>
  <c r="X526"/>
  <c r="Y526"/>
  <c r="Z526"/>
  <c r="AA526"/>
  <c r="AB526"/>
  <c r="AC526"/>
  <c r="P534"/>
  <c r="Q534"/>
  <c r="S534"/>
  <c r="T534"/>
  <c r="U534"/>
  <c r="V534"/>
  <c r="W534"/>
  <c r="X534"/>
  <c r="Y534"/>
  <c r="Z534"/>
  <c r="AA534"/>
  <c r="AB534"/>
  <c r="AC534"/>
  <c r="P531"/>
  <c r="Q531"/>
  <c r="S531"/>
  <c r="T531"/>
  <c r="U531"/>
  <c r="V531"/>
  <c r="W531"/>
  <c r="X531"/>
  <c r="Y531"/>
  <c r="Z531"/>
  <c r="AA531"/>
  <c r="AB531"/>
  <c r="AC531"/>
  <c r="P530"/>
  <c r="Q530"/>
  <c r="S530"/>
  <c r="T530"/>
  <c r="U530"/>
  <c r="V530"/>
  <c r="W530"/>
  <c r="X530"/>
  <c r="Y530"/>
  <c r="Z530"/>
  <c r="AA530"/>
  <c r="AB530"/>
  <c r="AC530"/>
  <c r="P542"/>
  <c r="Q542"/>
  <c r="S542"/>
  <c r="T542"/>
  <c r="U542"/>
  <c r="V542"/>
  <c r="W542"/>
  <c r="X542"/>
  <c r="Y542"/>
  <c r="Z542"/>
  <c r="AA542"/>
  <c r="AB542"/>
  <c r="AC542"/>
  <c r="P549"/>
  <c r="Q549"/>
  <c r="S549"/>
  <c r="T549"/>
  <c r="U549"/>
  <c r="V549"/>
  <c r="W549"/>
  <c r="X549"/>
  <c r="Y549"/>
  <c r="Z549"/>
  <c r="AA549"/>
  <c r="AB549"/>
  <c r="AC549"/>
  <c r="Q548"/>
  <c r="S548"/>
  <c r="T548"/>
  <c r="U548"/>
  <c r="V548"/>
  <c r="W548"/>
  <c r="X548"/>
  <c r="Y548"/>
  <c r="Z548"/>
  <c r="AA548"/>
  <c r="AB548"/>
  <c r="AC548"/>
  <c r="P554"/>
  <c r="P553" s="1"/>
  <c r="Q554"/>
  <c r="Q553" s="1"/>
  <c r="S554"/>
  <c r="S553" s="1"/>
  <c r="T554"/>
  <c r="T553" s="1"/>
  <c r="U554"/>
  <c r="U553" s="1"/>
  <c r="V554"/>
  <c r="V553" s="1"/>
  <c r="W554"/>
  <c r="W553" s="1"/>
  <c r="X554"/>
  <c r="X553" s="1"/>
  <c r="Y554"/>
  <c r="Y553" s="1"/>
  <c r="Z554"/>
  <c r="Z553" s="1"/>
  <c r="AA554"/>
  <c r="AA553" s="1"/>
  <c r="AB554"/>
  <c r="AB553" s="1"/>
  <c r="AC554"/>
  <c r="AC553" s="1"/>
  <c r="P561"/>
  <c r="Q561"/>
  <c r="S561"/>
  <c r="T561"/>
  <c r="U561"/>
  <c r="V561"/>
  <c r="W561"/>
  <c r="X561"/>
  <c r="Y561"/>
  <c r="Z561"/>
  <c r="AA561"/>
  <c r="AB561"/>
  <c r="AC561"/>
  <c r="P560"/>
  <c r="S560"/>
  <c r="T560"/>
  <c r="U560"/>
  <c r="V560"/>
  <c r="W560"/>
  <c r="X560"/>
  <c r="Y560"/>
  <c r="Z560"/>
  <c r="AA560"/>
  <c r="AB560"/>
  <c r="AC560"/>
  <c r="P566"/>
  <c r="P565" s="1"/>
  <c r="Q566"/>
  <c r="Q565" s="1"/>
  <c r="S566"/>
  <c r="S565" s="1"/>
  <c r="T566"/>
  <c r="T565" s="1"/>
  <c r="U566"/>
  <c r="U565" s="1"/>
  <c r="V566"/>
  <c r="V565" s="1"/>
  <c r="W566"/>
  <c r="W565" s="1"/>
  <c r="X566"/>
  <c r="X565" s="1"/>
  <c r="Y566"/>
  <c r="Y565" s="1"/>
  <c r="Z566"/>
  <c r="Z565" s="1"/>
  <c r="AA566"/>
  <c r="AA565" s="1"/>
  <c r="AB566"/>
  <c r="AB565" s="1"/>
  <c r="AC566"/>
  <c r="AC565" s="1"/>
  <c r="P569"/>
  <c r="Q569"/>
  <c r="S569"/>
  <c r="T569"/>
  <c r="U569"/>
  <c r="V569"/>
  <c r="W569"/>
  <c r="X569"/>
  <c r="Y569"/>
  <c r="Z569"/>
  <c r="AA569"/>
  <c r="AB569"/>
  <c r="AC569"/>
  <c r="P568"/>
  <c r="Q568"/>
  <c r="S568"/>
  <c r="T568"/>
  <c r="U568"/>
  <c r="V568"/>
  <c r="W568"/>
  <c r="X568"/>
  <c r="Y568"/>
  <c r="Z568"/>
  <c r="AA568"/>
  <c r="AB568"/>
  <c r="AC568"/>
  <c r="P581"/>
  <c r="Q581"/>
  <c r="S581"/>
  <c r="T581"/>
  <c r="U581"/>
  <c r="V581"/>
  <c r="W581"/>
  <c r="X581"/>
  <c r="Y581"/>
  <c r="Z581"/>
  <c r="AA581"/>
  <c r="AB581"/>
  <c r="AC581"/>
  <c r="P580"/>
  <c r="Q580"/>
  <c r="S580"/>
  <c r="T580"/>
  <c r="U580"/>
  <c r="V580"/>
  <c r="W580"/>
  <c r="X580"/>
  <c r="Y580"/>
  <c r="Z580"/>
  <c r="AA580"/>
  <c r="AB580"/>
  <c r="AC580"/>
  <c r="P587"/>
  <c r="Q587"/>
  <c r="S587"/>
  <c r="T587"/>
  <c r="U587"/>
  <c r="V587"/>
  <c r="W587"/>
  <c r="X587"/>
  <c r="Y587"/>
  <c r="Z587"/>
  <c r="AA587"/>
  <c r="AB587"/>
  <c r="AC587"/>
  <c r="O587"/>
  <c r="O581"/>
  <c r="O580"/>
  <c r="O569"/>
  <c r="O568"/>
  <c r="O561"/>
  <c r="O560"/>
  <c r="O554"/>
  <c r="O553" s="1"/>
  <c r="O549"/>
  <c r="O542"/>
  <c r="O537"/>
  <c r="O534"/>
  <c r="O531"/>
  <c r="O530"/>
  <c r="O526"/>
  <c r="P261"/>
  <c r="Q261"/>
  <c r="O261"/>
  <c r="T261"/>
  <c r="U261"/>
  <c r="V261"/>
  <c r="W261"/>
  <c r="X261"/>
  <c r="Y261"/>
  <c r="Z261"/>
  <c r="AA261"/>
  <c r="AB261"/>
  <c r="AC261"/>
  <c r="S261"/>
  <c r="T259"/>
  <c r="U259"/>
  <c r="V259"/>
  <c r="W259"/>
  <c r="X259"/>
  <c r="Y259"/>
  <c r="Z259"/>
  <c r="AA259"/>
  <c r="AB259"/>
  <c r="AC259"/>
  <c r="S259"/>
  <c r="R262"/>
  <c r="R260"/>
  <c r="P259"/>
  <c r="Q259"/>
  <c r="O259"/>
  <c r="T108"/>
  <c r="U108"/>
  <c r="V108"/>
  <c r="W108"/>
  <c r="X108"/>
  <c r="Y108"/>
  <c r="Z108"/>
  <c r="AA108"/>
  <c r="AB108"/>
  <c r="AC108"/>
  <c r="S108"/>
  <c r="P108"/>
  <c r="Q108"/>
  <c r="O108"/>
  <c r="T104"/>
  <c r="U104"/>
  <c r="V104"/>
  <c r="W104"/>
  <c r="X104"/>
  <c r="Y104"/>
  <c r="Z104"/>
  <c r="AA104"/>
  <c r="AB104"/>
  <c r="AC104"/>
  <c r="P104"/>
  <c r="Q104"/>
  <c r="T7"/>
  <c r="U7"/>
  <c r="V7"/>
  <c r="W7"/>
  <c r="X7"/>
  <c r="Y7"/>
  <c r="Z7"/>
  <c r="AA7"/>
  <c r="AB7"/>
  <c r="AC7"/>
  <c r="P7"/>
  <c r="Q7"/>
  <c r="T132"/>
  <c r="U132"/>
  <c r="V132"/>
  <c r="W132"/>
  <c r="X132"/>
  <c r="Y132"/>
  <c r="Z132"/>
  <c r="AA132"/>
  <c r="AB132"/>
  <c r="AC132"/>
  <c r="S132"/>
  <c r="P132"/>
  <c r="Q132"/>
  <c r="O132"/>
  <c r="Q90"/>
  <c r="S90"/>
  <c r="T90"/>
  <c r="U90"/>
  <c r="V90"/>
  <c r="W90"/>
  <c r="X90"/>
  <c r="Y90"/>
  <c r="Z90"/>
  <c r="AA90"/>
  <c r="AB90"/>
  <c r="AC90"/>
  <c r="O90"/>
  <c r="I134"/>
  <c r="R134"/>
  <c r="AD134" s="1"/>
  <c r="I111"/>
  <c r="R111"/>
  <c r="AD111" s="1"/>
  <c r="I107"/>
  <c r="R107"/>
  <c r="AD107" s="1"/>
  <c r="I93"/>
  <c r="R93"/>
  <c r="AD93" s="1"/>
  <c r="R92"/>
  <c r="R91"/>
  <c r="R436"/>
  <c r="AD436" s="1"/>
  <c r="I436"/>
  <c r="R435"/>
  <c r="AD435" s="1"/>
  <c r="I435"/>
  <c r="AC434"/>
  <c r="AB434"/>
  <c r="AA434"/>
  <c r="Z434"/>
  <c r="Y434"/>
  <c r="X434"/>
  <c r="W434"/>
  <c r="V434"/>
  <c r="U434"/>
  <c r="T434"/>
  <c r="S434"/>
  <c r="Q434"/>
  <c r="P434"/>
  <c r="O434"/>
  <c r="N434"/>
  <c r="M434"/>
  <c r="L434"/>
  <c r="K434"/>
  <c r="J434"/>
  <c r="H434"/>
  <c r="G434"/>
  <c r="R188"/>
  <c r="AD188" s="1"/>
  <c r="I188"/>
  <c r="R187"/>
  <c r="AD187" s="1"/>
  <c r="I187"/>
  <c r="AC186"/>
  <c r="AB186"/>
  <c r="AA186"/>
  <c r="Z186"/>
  <c r="Y186"/>
  <c r="X186"/>
  <c r="W186"/>
  <c r="V186"/>
  <c r="U186"/>
  <c r="T186"/>
  <c r="S186"/>
  <c r="Q186"/>
  <c r="P186"/>
  <c r="O186"/>
  <c r="N186"/>
  <c r="M186"/>
  <c r="L186"/>
  <c r="K186"/>
  <c r="J186"/>
  <c r="H186"/>
  <c r="G186"/>
  <c r="AD97"/>
  <c r="I97"/>
  <c r="T94"/>
  <c r="U94"/>
  <c r="V94"/>
  <c r="W94"/>
  <c r="X94"/>
  <c r="Y94"/>
  <c r="Z94"/>
  <c r="AA94"/>
  <c r="AB94"/>
  <c r="AC94"/>
  <c r="S94"/>
  <c r="P94"/>
  <c r="Q94"/>
  <c r="O94"/>
  <c r="AD361"/>
  <c r="AD360"/>
  <c r="AC589"/>
  <c r="AB589"/>
  <c r="AA589"/>
  <c r="Z589"/>
  <c r="Y589"/>
  <c r="X589"/>
  <c r="W589"/>
  <c r="V589"/>
  <c r="U589"/>
  <c r="T589"/>
  <c r="S589"/>
  <c r="Q589"/>
  <c r="P589"/>
  <c r="O589"/>
  <c r="N589"/>
  <c r="M589"/>
  <c r="L589"/>
  <c r="K589"/>
  <c r="J589"/>
  <c r="H589"/>
  <c r="G589"/>
  <c r="AC588"/>
  <c r="AB588"/>
  <c r="AA588"/>
  <c r="Z588"/>
  <c r="Y588"/>
  <c r="X588"/>
  <c r="W588"/>
  <c r="V588"/>
  <c r="U588"/>
  <c r="T588"/>
  <c r="S588"/>
  <c r="Q588"/>
  <c r="P588"/>
  <c r="O588"/>
  <c r="N588"/>
  <c r="M588"/>
  <c r="L588"/>
  <c r="K588"/>
  <c r="J588"/>
  <c r="H588"/>
  <c r="G588"/>
  <c r="N587"/>
  <c r="M587"/>
  <c r="L587"/>
  <c r="K587"/>
  <c r="J587"/>
  <c r="H587"/>
  <c r="G587"/>
  <c r="M581"/>
  <c r="L581"/>
  <c r="K581"/>
  <c r="J581"/>
  <c r="H581"/>
  <c r="G581"/>
  <c r="L580"/>
  <c r="K580"/>
  <c r="J580"/>
  <c r="H580"/>
  <c r="G580"/>
  <c r="AC578"/>
  <c r="AB578"/>
  <c r="AA578"/>
  <c r="Z578"/>
  <c r="Y578"/>
  <c r="X578"/>
  <c r="W578"/>
  <c r="V578"/>
  <c r="U578"/>
  <c r="T578"/>
  <c r="S578"/>
  <c r="Q578"/>
  <c r="P578"/>
  <c r="O578"/>
  <c r="N578"/>
  <c r="M578"/>
  <c r="L578"/>
  <c r="K578"/>
  <c r="J578"/>
  <c r="H578"/>
  <c r="G578"/>
  <c r="AC577"/>
  <c r="AB577"/>
  <c r="AA577"/>
  <c r="Z577"/>
  <c r="Y577"/>
  <c r="X577"/>
  <c r="W577"/>
  <c r="V577"/>
  <c r="U577"/>
  <c r="T577"/>
  <c r="S577"/>
  <c r="Q577"/>
  <c r="P577"/>
  <c r="O577"/>
  <c r="N577"/>
  <c r="M577"/>
  <c r="L577"/>
  <c r="K577"/>
  <c r="J577"/>
  <c r="H577"/>
  <c r="G577"/>
  <c r="N569"/>
  <c r="L569"/>
  <c r="K569"/>
  <c r="J569"/>
  <c r="H569"/>
  <c r="G569"/>
  <c r="L568"/>
  <c r="K568"/>
  <c r="J568"/>
  <c r="H568"/>
  <c r="G568"/>
  <c r="O566"/>
  <c r="O565" s="1"/>
  <c r="N566"/>
  <c r="N565" s="1"/>
  <c r="L566"/>
  <c r="L565" s="1"/>
  <c r="K566"/>
  <c r="K565" s="1"/>
  <c r="J566"/>
  <c r="J565" s="1"/>
  <c r="H566"/>
  <c r="H565" s="1"/>
  <c r="G566"/>
  <c r="G565" s="1"/>
  <c r="AC562"/>
  <c r="AB562"/>
  <c r="AA562"/>
  <c r="Z562"/>
  <c r="Y562"/>
  <c r="X562"/>
  <c r="W562"/>
  <c r="V562"/>
  <c r="U562"/>
  <c r="T562"/>
  <c r="S562"/>
  <c r="Q562"/>
  <c r="P562"/>
  <c r="O562"/>
  <c r="N562"/>
  <c r="M562"/>
  <c r="L562"/>
  <c r="K562"/>
  <c r="J562"/>
  <c r="H562"/>
  <c r="G562"/>
  <c r="N561"/>
  <c r="M561"/>
  <c r="L561"/>
  <c r="K561"/>
  <c r="J561"/>
  <c r="H561"/>
  <c r="G561"/>
  <c r="N560"/>
  <c r="L560"/>
  <c r="K560"/>
  <c r="J560"/>
  <c r="H560"/>
  <c r="G560"/>
  <c r="M554"/>
  <c r="M553" s="1"/>
  <c r="L554"/>
  <c r="L553" s="1"/>
  <c r="K554"/>
  <c r="K553" s="1"/>
  <c r="J554"/>
  <c r="J553" s="1"/>
  <c r="H554"/>
  <c r="H553" s="1"/>
  <c r="G554"/>
  <c r="G553" s="1"/>
  <c r="AC551"/>
  <c r="AB551"/>
  <c r="AA551"/>
  <c r="Z551"/>
  <c r="Y551"/>
  <c r="X551"/>
  <c r="W551"/>
  <c r="V551"/>
  <c r="U551"/>
  <c r="T551"/>
  <c r="S551"/>
  <c r="Q551"/>
  <c r="P551"/>
  <c r="O551"/>
  <c r="N551"/>
  <c r="M551"/>
  <c r="L551"/>
  <c r="K551"/>
  <c r="J551"/>
  <c r="H551"/>
  <c r="G551"/>
  <c r="F550"/>
  <c r="N549"/>
  <c r="L549"/>
  <c r="K549"/>
  <c r="J549"/>
  <c r="H549"/>
  <c r="G549"/>
  <c r="N548"/>
  <c r="L548"/>
  <c r="K548"/>
  <c r="J548"/>
  <c r="H548"/>
  <c r="G548"/>
  <c r="AC543"/>
  <c r="AB543"/>
  <c r="AA543"/>
  <c r="Z543"/>
  <c r="Y543"/>
  <c r="X543"/>
  <c r="W543"/>
  <c r="V543"/>
  <c r="U543"/>
  <c r="T543"/>
  <c r="S543"/>
  <c r="Q543"/>
  <c r="P543"/>
  <c r="O543"/>
  <c r="N543"/>
  <c r="M543"/>
  <c r="L543"/>
  <c r="K543"/>
  <c r="J543"/>
  <c r="H543"/>
  <c r="G543"/>
  <c r="N542"/>
  <c r="M542"/>
  <c r="L542"/>
  <c r="K542"/>
  <c r="J542"/>
  <c r="H542"/>
  <c r="G542"/>
  <c r="AC540"/>
  <c r="AB540"/>
  <c r="AA540"/>
  <c r="Z540"/>
  <c r="Y540"/>
  <c r="X540"/>
  <c r="W540"/>
  <c r="V540"/>
  <c r="U540"/>
  <c r="T540"/>
  <c r="S540"/>
  <c r="Q540"/>
  <c r="P540"/>
  <c r="O540"/>
  <c r="N540"/>
  <c r="M540"/>
  <c r="L540"/>
  <c r="K540"/>
  <c r="J540"/>
  <c r="H540"/>
  <c r="G540"/>
  <c r="AC537"/>
  <c r="AB537"/>
  <c r="AA537"/>
  <c r="Z537"/>
  <c r="Y537"/>
  <c r="X537"/>
  <c r="W537"/>
  <c r="V537"/>
  <c r="U537"/>
  <c r="T537"/>
  <c r="S537"/>
  <c r="Q537"/>
  <c r="P537"/>
  <c r="N537"/>
  <c r="L537"/>
  <c r="K537"/>
  <c r="J537"/>
  <c r="H537"/>
  <c r="G537"/>
  <c r="N534"/>
  <c r="M534"/>
  <c r="L534"/>
  <c r="K534"/>
  <c r="J534"/>
  <c r="H534"/>
  <c r="G534"/>
  <c r="N531"/>
  <c r="M531"/>
  <c r="L531"/>
  <c r="K531"/>
  <c r="J531"/>
  <c r="H531"/>
  <c r="G531"/>
  <c r="L530"/>
  <c r="K530"/>
  <c r="J530"/>
  <c r="H530"/>
  <c r="G530"/>
  <c r="AC528"/>
  <c r="AB528"/>
  <c r="AA528"/>
  <c r="Z528"/>
  <c r="Y528"/>
  <c r="X528"/>
  <c r="W528"/>
  <c r="V528"/>
  <c r="U528"/>
  <c r="T528"/>
  <c r="S528"/>
  <c r="Q528"/>
  <c r="P528"/>
  <c r="O528"/>
  <c r="N528"/>
  <c r="M528"/>
  <c r="L528"/>
  <c r="K528"/>
  <c r="J528"/>
  <c r="H528"/>
  <c r="G528"/>
  <c r="AC527"/>
  <c r="AB527"/>
  <c r="AA527"/>
  <c r="Z527"/>
  <c r="Y527"/>
  <c r="X527"/>
  <c r="W527"/>
  <c r="V527"/>
  <c r="U527"/>
  <c r="T527"/>
  <c r="S527"/>
  <c r="Q527"/>
  <c r="P527"/>
  <c r="O527"/>
  <c r="N527"/>
  <c r="M527"/>
  <c r="L527"/>
  <c r="K527"/>
  <c r="J527"/>
  <c r="H527"/>
  <c r="G527"/>
  <c r="N526"/>
  <c r="M526"/>
  <c r="L526"/>
  <c r="K526"/>
  <c r="J526"/>
  <c r="H526"/>
  <c r="G526"/>
  <c r="AC521"/>
  <c r="AB521"/>
  <c r="AA521"/>
  <c r="Z521"/>
  <c r="Y521"/>
  <c r="X521"/>
  <c r="W521"/>
  <c r="V521"/>
  <c r="U521"/>
  <c r="T521"/>
  <c r="S521"/>
  <c r="Q521"/>
  <c r="P521"/>
  <c r="O521"/>
  <c r="N521"/>
  <c r="M521"/>
  <c r="L521"/>
  <c r="K521"/>
  <c r="J521"/>
  <c r="H521"/>
  <c r="G521"/>
  <c r="AC520"/>
  <c r="AB520"/>
  <c r="AA520"/>
  <c r="Z520"/>
  <c r="Y520"/>
  <c r="X520"/>
  <c r="W520"/>
  <c r="V520"/>
  <c r="U520"/>
  <c r="T520"/>
  <c r="S520"/>
  <c r="Q520"/>
  <c r="P520"/>
  <c r="O520"/>
  <c r="N520"/>
  <c r="M520"/>
  <c r="L520"/>
  <c r="K520"/>
  <c r="J520"/>
  <c r="H520"/>
  <c r="G520"/>
  <c r="R507"/>
  <c r="AD507" s="1"/>
  <c r="I507"/>
  <c r="R506"/>
  <c r="R589" s="1"/>
  <c r="I506"/>
  <c r="I589" s="1"/>
  <c r="R505"/>
  <c r="AD505" s="1"/>
  <c r="M505"/>
  <c r="I505" s="1"/>
  <c r="AC504"/>
  <c r="AB504"/>
  <c r="AA504"/>
  <c r="Z504"/>
  <c r="Y504"/>
  <c r="X504"/>
  <c r="W504"/>
  <c r="V504"/>
  <c r="U504"/>
  <c r="T504"/>
  <c r="S504"/>
  <c r="Q504"/>
  <c r="P504"/>
  <c r="O504"/>
  <c r="N504"/>
  <c r="M504"/>
  <c r="L504"/>
  <c r="K504"/>
  <c r="J504"/>
  <c r="R503"/>
  <c r="AD503" s="1"/>
  <c r="I503"/>
  <c r="R502"/>
  <c r="AD502" s="1"/>
  <c r="I502"/>
  <c r="AC501"/>
  <c r="AB501"/>
  <c r="AA501"/>
  <c r="Z501"/>
  <c r="Y501"/>
  <c r="X501"/>
  <c r="W501"/>
  <c r="V501"/>
  <c r="U501"/>
  <c r="T501"/>
  <c r="S501"/>
  <c r="Q501"/>
  <c r="P501"/>
  <c r="O501"/>
  <c r="N501"/>
  <c r="M501"/>
  <c r="L501"/>
  <c r="K501"/>
  <c r="J501"/>
  <c r="H501"/>
  <c r="G501"/>
  <c r="R500"/>
  <c r="AD500" s="1"/>
  <c r="I500"/>
  <c r="AC499"/>
  <c r="AB499"/>
  <c r="AA499"/>
  <c r="Z499"/>
  <c r="Y499"/>
  <c r="X499"/>
  <c r="W499"/>
  <c r="V499"/>
  <c r="U499"/>
  <c r="T499"/>
  <c r="S499"/>
  <c r="Q499"/>
  <c r="P499"/>
  <c r="O499"/>
  <c r="N499"/>
  <c r="M499"/>
  <c r="L499"/>
  <c r="K499"/>
  <c r="J499"/>
  <c r="H499"/>
  <c r="G499"/>
  <c r="R498"/>
  <c r="AD498" s="1"/>
  <c r="I498"/>
  <c r="AC497"/>
  <c r="AB497"/>
  <c r="AA497"/>
  <c r="Z497"/>
  <c r="Y497"/>
  <c r="X497"/>
  <c r="W497"/>
  <c r="V497"/>
  <c r="U497"/>
  <c r="T497"/>
  <c r="S497"/>
  <c r="Q497"/>
  <c r="P497"/>
  <c r="O497"/>
  <c r="N497"/>
  <c r="M497"/>
  <c r="L497"/>
  <c r="K497"/>
  <c r="J497"/>
  <c r="H497"/>
  <c r="G497"/>
  <c r="R496"/>
  <c r="AD496" s="1"/>
  <c r="I496"/>
  <c r="R489"/>
  <c r="AD489" s="1"/>
  <c r="I489"/>
  <c r="AC488"/>
  <c r="AB488"/>
  <c r="AA488"/>
  <c r="Z488"/>
  <c r="Y488"/>
  <c r="X488"/>
  <c r="W488"/>
  <c r="V488"/>
  <c r="U488"/>
  <c r="T488"/>
  <c r="S488"/>
  <c r="Q488"/>
  <c r="P488"/>
  <c r="O488"/>
  <c r="N488"/>
  <c r="M488"/>
  <c r="L488"/>
  <c r="K488"/>
  <c r="J488"/>
  <c r="H488"/>
  <c r="G488"/>
  <c r="R487"/>
  <c r="AD487" s="1"/>
  <c r="I487"/>
  <c r="R486"/>
  <c r="M486"/>
  <c r="AC485"/>
  <c r="AB485"/>
  <c r="AA485"/>
  <c r="Z485"/>
  <c r="Y485"/>
  <c r="X485"/>
  <c r="W485"/>
  <c r="V485"/>
  <c r="U485"/>
  <c r="T485"/>
  <c r="S485"/>
  <c r="Q485"/>
  <c r="P485"/>
  <c r="O485"/>
  <c r="N485"/>
  <c r="L485"/>
  <c r="K485"/>
  <c r="J485"/>
  <c r="H485"/>
  <c r="G485"/>
  <c r="R484"/>
  <c r="I484"/>
  <c r="AC483"/>
  <c r="AB483"/>
  <c r="AA483"/>
  <c r="Z483"/>
  <c r="Y483"/>
  <c r="X483"/>
  <c r="W483"/>
  <c r="V483"/>
  <c r="U483"/>
  <c r="T483"/>
  <c r="S483"/>
  <c r="Q483"/>
  <c r="P483"/>
  <c r="O483"/>
  <c r="N483"/>
  <c r="M483"/>
  <c r="L483"/>
  <c r="K483"/>
  <c r="J483"/>
  <c r="H483"/>
  <c r="G483"/>
  <c r="AD482"/>
  <c r="R481"/>
  <c r="AD481" s="1"/>
  <c r="I481"/>
  <c r="R480"/>
  <c r="Q480"/>
  <c r="P480"/>
  <c r="O480"/>
  <c r="N480"/>
  <c r="M480"/>
  <c r="L480"/>
  <c r="K480"/>
  <c r="J480"/>
  <c r="H480"/>
  <c r="G480"/>
  <c r="R479"/>
  <c r="AD479" s="1"/>
  <c r="I479"/>
  <c r="R478"/>
  <c r="Q478"/>
  <c r="P478"/>
  <c r="O478"/>
  <c r="N478"/>
  <c r="M478"/>
  <c r="L478"/>
  <c r="K478"/>
  <c r="J478"/>
  <c r="H478"/>
  <c r="G478"/>
  <c r="R477"/>
  <c r="AD477" s="1"/>
  <c r="I477"/>
  <c r="AC476"/>
  <c r="AB476"/>
  <c r="AA476"/>
  <c r="Z476"/>
  <c r="Y476"/>
  <c r="X476"/>
  <c r="W476"/>
  <c r="V476"/>
  <c r="U476"/>
  <c r="T476"/>
  <c r="S476"/>
  <c r="Q476"/>
  <c r="P476"/>
  <c r="O476"/>
  <c r="N476"/>
  <c r="M476"/>
  <c r="L476"/>
  <c r="K476"/>
  <c r="J476"/>
  <c r="H476"/>
  <c r="G476"/>
  <c r="R475"/>
  <c r="AD475" s="1"/>
  <c r="I475"/>
  <c r="R474"/>
  <c r="AD474" s="1"/>
  <c r="M474"/>
  <c r="I474" s="1"/>
  <c r="AC473"/>
  <c r="AB473"/>
  <c r="AA473"/>
  <c r="Z473"/>
  <c r="Y473"/>
  <c r="X473"/>
  <c r="W473"/>
  <c r="V473"/>
  <c r="U473"/>
  <c r="T473"/>
  <c r="S473"/>
  <c r="Q473"/>
  <c r="P473"/>
  <c r="O473"/>
  <c r="N473"/>
  <c r="L473"/>
  <c r="K473"/>
  <c r="J473"/>
  <c r="H473"/>
  <c r="G473"/>
  <c r="R472"/>
  <c r="AD472" s="1"/>
  <c r="N472"/>
  <c r="I472" s="1"/>
  <c r="R471"/>
  <c r="AD471" s="1"/>
  <c r="N471"/>
  <c r="N580" s="1"/>
  <c r="M471"/>
  <c r="M470" s="1"/>
  <c r="AC470"/>
  <c r="AB470"/>
  <c r="AA470"/>
  <c r="Z470"/>
  <c r="Y470"/>
  <c r="X470"/>
  <c r="W470"/>
  <c r="V470"/>
  <c r="U470"/>
  <c r="T470"/>
  <c r="S470"/>
  <c r="Q470"/>
  <c r="P470"/>
  <c r="O470"/>
  <c r="L470"/>
  <c r="K470"/>
  <c r="J470"/>
  <c r="H470"/>
  <c r="G470"/>
  <c r="R469"/>
  <c r="AD469" s="1"/>
  <c r="I469"/>
  <c r="R468"/>
  <c r="AD468" s="1"/>
  <c r="I468"/>
  <c r="AC467"/>
  <c r="AB467"/>
  <c r="AA467"/>
  <c r="Z467"/>
  <c r="Y467"/>
  <c r="X467"/>
  <c r="W467"/>
  <c r="V467"/>
  <c r="U467"/>
  <c r="T467"/>
  <c r="S467"/>
  <c r="Q467"/>
  <c r="P467"/>
  <c r="O467"/>
  <c r="N467"/>
  <c r="M467"/>
  <c r="L467"/>
  <c r="K467"/>
  <c r="J467"/>
  <c r="H467"/>
  <c r="G467"/>
  <c r="R466"/>
  <c r="AD466" s="1"/>
  <c r="I466"/>
  <c r="AC465"/>
  <c r="AB465"/>
  <c r="AA465"/>
  <c r="Z465"/>
  <c r="Y465"/>
  <c r="X465"/>
  <c r="W465"/>
  <c r="V465"/>
  <c r="U465"/>
  <c r="T465"/>
  <c r="S465"/>
  <c r="Q465"/>
  <c r="P465"/>
  <c r="O465"/>
  <c r="N465"/>
  <c r="M465"/>
  <c r="L465"/>
  <c r="K465"/>
  <c r="J465"/>
  <c r="H465"/>
  <c r="G465"/>
  <c r="R464"/>
  <c r="AD464" s="1"/>
  <c r="I464"/>
  <c r="AC463"/>
  <c r="AB463"/>
  <c r="AA463"/>
  <c r="Z463"/>
  <c r="Y463"/>
  <c r="X463"/>
  <c r="W463"/>
  <c r="V463"/>
  <c r="U463"/>
  <c r="T463"/>
  <c r="S463"/>
  <c r="Q463"/>
  <c r="P463"/>
  <c r="O463"/>
  <c r="N463"/>
  <c r="M463"/>
  <c r="L463"/>
  <c r="K463"/>
  <c r="J463"/>
  <c r="H463"/>
  <c r="G463"/>
  <c r="R462"/>
  <c r="AD462" s="1"/>
  <c r="I462"/>
  <c r="AC461"/>
  <c r="AB461"/>
  <c r="AA461"/>
  <c r="Z461"/>
  <c r="Y461"/>
  <c r="X461"/>
  <c r="W461"/>
  <c r="V461"/>
  <c r="U461"/>
  <c r="T461"/>
  <c r="S461"/>
  <c r="Q461"/>
  <c r="P461"/>
  <c r="O461"/>
  <c r="N461"/>
  <c r="M461"/>
  <c r="L461"/>
  <c r="K461"/>
  <c r="J461"/>
  <c r="H461"/>
  <c r="G461"/>
  <c r="R460"/>
  <c r="AD460" s="1"/>
  <c r="I460"/>
  <c r="AC459"/>
  <c r="AB459"/>
  <c r="AA459"/>
  <c r="Z459"/>
  <c r="Y459"/>
  <c r="X459"/>
  <c r="W459"/>
  <c r="V459"/>
  <c r="U459"/>
  <c r="T459"/>
  <c r="S459"/>
  <c r="Q459"/>
  <c r="P459"/>
  <c r="O459"/>
  <c r="N459"/>
  <c r="M459"/>
  <c r="L459"/>
  <c r="K459"/>
  <c r="J459"/>
  <c r="H459"/>
  <c r="G459"/>
  <c r="R458"/>
  <c r="AD458" s="1"/>
  <c r="I458"/>
  <c r="AC457"/>
  <c r="AB457"/>
  <c r="AA457"/>
  <c r="Z457"/>
  <c r="Y457"/>
  <c r="X457"/>
  <c r="W457"/>
  <c r="V457"/>
  <c r="U457"/>
  <c r="T457"/>
  <c r="S457"/>
  <c r="Q457"/>
  <c r="P457"/>
  <c r="O457"/>
  <c r="N457"/>
  <c r="M457"/>
  <c r="L457"/>
  <c r="K457"/>
  <c r="J457"/>
  <c r="H457"/>
  <c r="G457"/>
  <c r="R456"/>
  <c r="AD456" s="1"/>
  <c r="I456"/>
  <c r="AC455"/>
  <c r="AB455"/>
  <c r="AA455"/>
  <c r="Z455"/>
  <c r="Y455"/>
  <c r="X455"/>
  <c r="W455"/>
  <c r="V455"/>
  <c r="U455"/>
  <c r="T455"/>
  <c r="S455"/>
  <c r="Q455"/>
  <c r="P455"/>
  <c r="O455"/>
  <c r="N455"/>
  <c r="M455"/>
  <c r="L455"/>
  <c r="K455"/>
  <c r="J455"/>
  <c r="H455"/>
  <c r="G455"/>
  <c r="R454"/>
  <c r="AD454" s="1"/>
  <c r="I454"/>
  <c r="R453"/>
  <c r="AD453" s="1"/>
  <c r="I453"/>
  <c r="AC452"/>
  <c r="AB452"/>
  <c r="AA452"/>
  <c r="Z452"/>
  <c r="Y452"/>
  <c r="X452"/>
  <c r="W452"/>
  <c r="V452"/>
  <c r="U452"/>
  <c r="T452"/>
  <c r="S452"/>
  <c r="Q452"/>
  <c r="P452"/>
  <c r="O452"/>
  <c r="N452"/>
  <c r="M452"/>
  <c r="L452"/>
  <c r="K452"/>
  <c r="J452"/>
  <c r="H452"/>
  <c r="G452"/>
  <c r="R451"/>
  <c r="I451"/>
  <c r="AC450"/>
  <c r="AB450"/>
  <c r="AA450"/>
  <c r="Z450"/>
  <c r="Y450"/>
  <c r="X450"/>
  <c r="W450"/>
  <c r="V450"/>
  <c r="U450"/>
  <c r="T450"/>
  <c r="S450"/>
  <c r="Q450"/>
  <c r="P450"/>
  <c r="O450"/>
  <c r="N450"/>
  <c r="M450"/>
  <c r="L450"/>
  <c r="K450"/>
  <c r="J450"/>
  <c r="H450"/>
  <c r="G450"/>
  <c r="R449"/>
  <c r="I449"/>
  <c r="R448"/>
  <c r="AD448" s="1"/>
  <c r="I448"/>
  <c r="AC447"/>
  <c r="AB447"/>
  <c r="AA447"/>
  <c r="Z447"/>
  <c r="Y447"/>
  <c r="X447"/>
  <c r="W447"/>
  <c r="V447"/>
  <c r="U447"/>
  <c r="T447"/>
  <c r="S447"/>
  <c r="Q447"/>
  <c r="P447"/>
  <c r="O447"/>
  <c r="N447"/>
  <c r="M447"/>
  <c r="L447"/>
  <c r="K447"/>
  <c r="J447"/>
  <c r="H447"/>
  <c r="G447"/>
  <c r="R446"/>
  <c r="AD446" s="1"/>
  <c r="I446"/>
  <c r="AC445"/>
  <c r="AB445"/>
  <c r="AA445"/>
  <c r="Z445"/>
  <c r="Y445"/>
  <c r="X445"/>
  <c r="W445"/>
  <c r="V445"/>
  <c r="U445"/>
  <c r="T445"/>
  <c r="S445"/>
  <c r="Q445"/>
  <c r="P445"/>
  <c r="O445"/>
  <c r="N445"/>
  <c r="M445"/>
  <c r="L445"/>
  <c r="K445"/>
  <c r="J445"/>
  <c r="H445"/>
  <c r="G445"/>
  <c r="R444"/>
  <c r="AD444" s="1"/>
  <c r="I444"/>
  <c r="R443"/>
  <c r="AD443" s="1"/>
  <c r="M443"/>
  <c r="M442" s="1"/>
  <c r="AC442"/>
  <c r="AB442"/>
  <c r="AA442"/>
  <c r="Z442"/>
  <c r="Y442"/>
  <c r="X442"/>
  <c r="W442"/>
  <c r="V442"/>
  <c r="U442"/>
  <c r="T442"/>
  <c r="S442"/>
  <c r="Q442"/>
  <c r="P442"/>
  <c r="O442"/>
  <c r="N442"/>
  <c r="L442"/>
  <c r="K442"/>
  <c r="J442"/>
  <c r="H442"/>
  <c r="G442"/>
  <c r="AD441"/>
  <c r="R440"/>
  <c r="AD440" s="1"/>
  <c r="I440"/>
  <c r="AC439"/>
  <c r="AB439"/>
  <c r="AA439"/>
  <c r="Z439"/>
  <c r="Y439"/>
  <c r="X439"/>
  <c r="W439"/>
  <c r="V439"/>
  <c r="U439"/>
  <c r="T439"/>
  <c r="S439"/>
  <c r="Q439"/>
  <c r="P439"/>
  <c r="O439"/>
  <c r="N439"/>
  <c r="M439"/>
  <c r="L439"/>
  <c r="K439"/>
  <c r="J439"/>
  <c r="H439"/>
  <c r="G439"/>
  <c r="R438"/>
  <c r="AD438" s="1"/>
  <c r="M438"/>
  <c r="I438" s="1"/>
  <c r="AC437"/>
  <c r="AB437"/>
  <c r="AA437"/>
  <c r="Z437"/>
  <c r="Y437"/>
  <c r="X437"/>
  <c r="W437"/>
  <c r="V437"/>
  <c r="U437"/>
  <c r="T437"/>
  <c r="S437"/>
  <c r="Q437"/>
  <c r="P437"/>
  <c r="O437"/>
  <c r="N437"/>
  <c r="L437"/>
  <c r="K437"/>
  <c r="J437"/>
  <c r="H437"/>
  <c r="G437"/>
  <c r="R433"/>
  <c r="AD433" s="1"/>
  <c r="I433"/>
  <c r="R432"/>
  <c r="AD432" s="1"/>
  <c r="I432"/>
  <c r="AC431"/>
  <c r="AB431"/>
  <c r="AA431"/>
  <c r="Z431"/>
  <c r="Y431"/>
  <c r="X431"/>
  <c r="W431"/>
  <c r="V431"/>
  <c r="U431"/>
  <c r="T431"/>
  <c r="S431"/>
  <c r="Q431"/>
  <c r="P431"/>
  <c r="O431"/>
  <c r="N431"/>
  <c r="M431"/>
  <c r="L431"/>
  <c r="K431"/>
  <c r="J431"/>
  <c r="H431"/>
  <c r="G431"/>
  <c r="R430"/>
  <c r="AD430" s="1"/>
  <c r="I430"/>
  <c r="R429"/>
  <c r="AD429" s="1"/>
  <c r="I429"/>
  <c r="R428"/>
  <c r="AD428" s="1"/>
  <c r="I428"/>
  <c r="AC427"/>
  <c r="AB427"/>
  <c r="AA427"/>
  <c r="Z427"/>
  <c r="Y427"/>
  <c r="X427"/>
  <c r="W427"/>
  <c r="V427"/>
  <c r="U427"/>
  <c r="T427"/>
  <c r="S427"/>
  <c r="Q427"/>
  <c r="P427"/>
  <c r="O427"/>
  <c r="N427"/>
  <c r="M427"/>
  <c r="L427"/>
  <c r="K427"/>
  <c r="J427"/>
  <c r="R426"/>
  <c r="AD426" s="1"/>
  <c r="M426"/>
  <c r="I426" s="1"/>
  <c r="AC425"/>
  <c r="AB425"/>
  <c r="AA425"/>
  <c r="Z425"/>
  <c r="Y425"/>
  <c r="X425"/>
  <c r="W425"/>
  <c r="V425"/>
  <c r="U425"/>
  <c r="T425"/>
  <c r="S425"/>
  <c r="Q425"/>
  <c r="P425"/>
  <c r="O425"/>
  <c r="N425"/>
  <c r="L425"/>
  <c r="K425"/>
  <c r="J425"/>
  <c r="H425"/>
  <c r="G425"/>
  <c r="R424"/>
  <c r="AD424" s="1"/>
  <c r="M424"/>
  <c r="I424" s="1"/>
  <c r="AC423"/>
  <c r="AB423"/>
  <c r="AA423"/>
  <c r="Z423"/>
  <c r="Y423"/>
  <c r="X423"/>
  <c r="W423"/>
  <c r="V423"/>
  <c r="U423"/>
  <c r="T423"/>
  <c r="S423"/>
  <c r="Q423"/>
  <c r="P423"/>
  <c r="O423"/>
  <c r="N423"/>
  <c r="L423"/>
  <c r="K423"/>
  <c r="J423"/>
  <c r="H423"/>
  <c r="G423"/>
  <c r="R422"/>
  <c r="AD422" s="1"/>
  <c r="N422"/>
  <c r="N574" s="1"/>
  <c r="AC421"/>
  <c r="AB421"/>
  <c r="AA421"/>
  <c r="Z421"/>
  <c r="Y421"/>
  <c r="X421"/>
  <c r="W421"/>
  <c r="V421"/>
  <c r="U421"/>
  <c r="T421"/>
  <c r="S421"/>
  <c r="Q421"/>
  <c r="P421"/>
  <c r="O421"/>
  <c r="M421"/>
  <c r="L421"/>
  <c r="K421"/>
  <c r="J421"/>
  <c r="H421"/>
  <c r="G421"/>
  <c r="R420"/>
  <c r="AD420" s="1"/>
  <c r="I420"/>
  <c r="R419"/>
  <c r="AD419" s="1"/>
  <c r="I419"/>
  <c r="AC418"/>
  <c r="AB418"/>
  <c r="AA418"/>
  <c r="Z418"/>
  <c r="Y418"/>
  <c r="X418"/>
  <c r="W418"/>
  <c r="V418"/>
  <c r="U418"/>
  <c r="T418"/>
  <c r="S418"/>
  <c r="Q418"/>
  <c r="P418"/>
  <c r="O418"/>
  <c r="N418"/>
  <c r="M418"/>
  <c r="L418"/>
  <c r="K418"/>
  <c r="J418"/>
  <c r="H418"/>
  <c r="G418"/>
  <c r="R417"/>
  <c r="AD417" s="1"/>
  <c r="I417"/>
  <c r="R416"/>
  <c r="AD416" s="1"/>
  <c r="I416"/>
  <c r="AC415"/>
  <c r="AB415"/>
  <c r="AA415"/>
  <c r="Z415"/>
  <c r="Y415"/>
  <c r="X415"/>
  <c r="W415"/>
  <c r="V415"/>
  <c r="U415"/>
  <c r="T415"/>
  <c r="S415"/>
  <c r="Q415"/>
  <c r="P415"/>
  <c r="O415"/>
  <c r="N415"/>
  <c r="M415"/>
  <c r="L415"/>
  <c r="K415"/>
  <c r="J415"/>
  <c r="H415"/>
  <c r="G415"/>
  <c r="R414"/>
  <c r="AD414" s="1"/>
  <c r="I414"/>
  <c r="R413"/>
  <c r="AD413" s="1"/>
  <c r="AC412"/>
  <c r="AB412"/>
  <c r="AA412"/>
  <c r="Z412"/>
  <c r="Y412"/>
  <c r="X412"/>
  <c r="W412"/>
  <c r="V412"/>
  <c r="U412"/>
  <c r="T412"/>
  <c r="S412"/>
  <c r="Q412"/>
  <c r="P412"/>
  <c r="N412"/>
  <c r="M412"/>
  <c r="L412"/>
  <c r="K412"/>
  <c r="J412"/>
  <c r="H412"/>
  <c r="G412"/>
  <c r="R411"/>
  <c r="AD411" s="1"/>
  <c r="I411"/>
  <c r="R410"/>
  <c r="AD410" s="1"/>
  <c r="I410"/>
  <c r="AC409"/>
  <c r="AB409"/>
  <c r="AA409"/>
  <c r="Z409"/>
  <c r="Y409"/>
  <c r="X409"/>
  <c r="W409"/>
  <c r="V409"/>
  <c r="U409"/>
  <c r="T409"/>
  <c r="S409"/>
  <c r="Q409"/>
  <c r="P409"/>
  <c r="O409"/>
  <c r="N409"/>
  <c r="M409"/>
  <c r="L409"/>
  <c r="K409"/>
  <c r="J409"/>
  <c r="H409"/>
  <c r="G409"/>
  <c r="R408"/>
  <c r="AD408" s="1"/>
  <c r="M408"/>
  <c r="I408" s="1"/>
  <c r="R407"/>
  <c r="AD407" s="1"/>
  <c r="M407"/>
  <c r="I407" s="1"/>
  <c r="AC406"/>
  <c r="AB406"/>
  <c r="AA406"/>
  <c r="Z406"/>
  <c r="Y406"/>
  <c r="X406"/>
  <c r="W406"/>
  <c r="V406"/>
  <c r="U406"/>
  <c r="T406"/>
  <c r="S406"/>
  <c r="Q406"/>
  <c r="P406"/>
  <c r="O406"/>
  <c r="N406"/>
  <c r="L406"/>
  <c r="K406"/>
  <c r="J406"/>
  <c r="H406"/>
  <c r="G406"/>
  <c r="R405"/>
  <c r="AD405" s="1"/>
  <c r="I405"/>
  <c r="R404"/>
  <c r="AD404" s="1"/>
  <c r="I404"/>
  <c r="AC403"/>
  <c r="AB403"/>
  <c r="AA403"/>
  <c r="Z403"/>
  <c r="Y403"/>
  <c r="X403"/>
  <c r="W403"/>
  <c r="V403"/>
  <c r="U403"/>
  <c r="T403"/>
  <c r="S403"/>
  <c r="Q403"/>
  <c r="P403"/>
  <c r="O403"/>
  <c r="N403"/>
  <c r="M403"/>
  <c r="L403"/>
  <c r="K403"/>
  <c r="J403"/>
  <c r="H403"/>
  <c r="G403"/>
  <c r="R402"/>
  <c r="AD402" s="1"/>
  <c r="I402"/>
  <c r="R401"/>
  <c r="AD401" s="1"/>
  <c r="I401"/>
  <c r="R400"/>
  <c r="AD400" s="1"/>
  <c r="I400"/>
  <c r="AC399"/>
  <c r="AB399"/>
  <c r="AA399"/>
  <c r="Z399"/>
  <c r="Y399"/>
  <c r="X399"/>
  <c r="W399"/>
  <c r="V399"/>
  <c r="U399"/>
  <c r="T399"/>
  <c r="S399"/>
  <c r="Q399"/>
  <c r="P399"/>
  <c r="O399"/>
  <c r="N399"/>
  <c r="M399"/>
  <c r="L399"/>
  <c r="K399"/>
  <c r="J399"/>
  <c r="R398"/>
  <c r="AD398" s="1"/>
  <c r="M398"/>
  <c r="I398" s="1"/>
  <c r="AC397"/>
  <c r="AB397"/>
  <c r="AA397"/>
  <c r="Z397"/>
  <c r="Y397"/>
  <c r="X397"/>
  <c r="W397"/>
  <c r="V397"/>
  <c r="U397"/>
  <c r="T397"/>
  <c r="S397"/>
  <c r="Q397"/>
  <c r="P397"/>
  <c r="O397"/>
  <c r="N397"/>
  <c r="L397"/>
  <c r="K397"/>
  <c r="J397"/>
  <c r="H397"/>
  <c r="G397"/>
  <c r="R396"/>
  <c r="AD396" s="1"/>
  <c r="I396"/>
  <c r="R395"/>
  <c r="AD395" s="1"/>
  <c r="M395"/>
  <c r="I395" s="1"/>
  <c r="AC394"/>
  <c r="AB394"/>
  <c r="AA394"/>
  <c r="Z394"/>
  <c r="Y394"/>
  <c r="X394"/>
  <c r="W394"/>
  <c r="V394"/>
  <c r="U394"/>
  <c r="T394"/>
  <c r="S394"/>
  <c r="Q394"/>
  <c r="P394"/>
  <c r="O394"/>
  <c r="N394"/>
  <c r="M394"/>
  <c r="L394"/>
  <c r="K394"/>
  <c r="J394"/>
  <c r="H394"/>
  <c r="G394"/>
  <c r="R393"/>
  <c r="AD393" s="1"/>
  <c r="I393"/>
  <c r="R392"/>
  <c r="AD392" s="1"/>
  <c r="I392"/>
  <c r="R391"/>
  <c r="I391"/>
  <c r="AC390"/>
  <c r="AB390"/>
  <c r="AA390"/>
  <c r="Z390"/>
  <c r="Y390"/>
  <c r="X390"/>
  <c r="W390"/>
  <c r="V390"/>
  <c r="U390"/>
  <c r="T390"/>
  <c r="S390"/>
  <c r="Q390"/>
  <c r="P390"/>
  <c r="O390"/>
  <c r="N390"/>
  <c r="M390"/>
  <c r="L390"/>
  <c r="K390"/>
  <c r="J390"/>
  <c r="AD389"/>
  <c r="R388"/>
  <c r="AD388" s="1"/>
  <c r="M388"/>
  <c r="I388" s="1"/>
  <c r="R387"/>
  <c r="AD387" s="1"/>
  <c r="M387"/>
  <c r="I387" s="1"/>
  <c r="AC386"/>
  <c r="AB386"/>
  <c r="AA386"/>
  <c r="Z386"/>
  <c r="Y386"/>
  <c r="X386"/>
  <c r="W386"/>
  <c r="V386"/>
  <c r="U386"/>
  <c r="T386"/>
  <c r="S386"/>
  <c r="Q386"/>
  <c r="P386"/>
  <c r="N386"/>
  <c r="L386"/>
  <c r="K386"/>
  <c r="J386"/>
  <c r="H386"/>
  <c r="G386"/>
  <c r="R385"/>
  <c r="AD385" s="1"/>
  <c r="I385"/>
  <c r="R384"/>
  <c r="AD384" s="1"/>
  <c r="I384"/>
  <c r="AC383"/>
  <c r="AB383"/>
  <c r="AA383"/>
  <c r="Z383"/>
  <c r="Y383"/>
  <c r="X383"/>
  <c r="W383"/>
  <c r="V383"/>
  <c r="U383"/>
  <c r="T383"/>
  <c r="S383"/>
  <c r="Q383"/>
  <c r="P383"/>
  <c r="O383"/>
  <c r="N383"/>
  <c r="M383"/>
  <c r="L383"/>
  <c r="K383"/>
  <c r="J383"/>
  <c r="H383"/>
  <c r="G383"/>
  <c r="R382"/>
  <c r="AD382" s="1"/>
  <c r="O380"/>
  <c r="M382"/>
  <c r="I382" s="1"/>
  <c r="R381"/>
  <c r="AD381" s="1"/>
  <c r="M381"/>
  <c r="I381" s="1"/>
  <c r="AC380"/>
  <c r="AB380"/>
  <c r="AA380"/>
  <c r="Z380"/>
  <c r="Y380"/>
  <c r="X380"/>
  <c r="W380"/>
  <c r="V380"/>
  <c r="U380"/>
  <c r="T380"/>
  <c r="S380"/>
  <c r="Q380"/>
  <c r="P380"/>
  <c r="N380"/>
  <c r="L380"/>
  <c r="K380"/>
  <c r="J380"/>
  <c r="H380"/>
  <c r="G380"/>
  <c r="R379"/>
  <c r="I379"/>
  <c r="R378"/>
  <c r="AD378" s="1"/>
  <c r="I378"/>
  <c r="AC377"/>
  <c r="AB377"/>
  <c r="AA377"/>
  <c r="Z377"/>
  <c r="Y377"/>
  <c r="X377"/>
  <c r="W377"/>
  <c r="V377"/>
  <c r="U377"/>
  <c r="T377"/>
  <c r="S377"/>
  <c r="Q377"/>
  <c r="P377"/>
  <c r="O377"/>
  <c r="N377"/>
  <c r="M377"/>
  <c r="L377"/>
  <c r="K377"/>
  <c r="J377"/>
  <c r="H377"/>
  <c r="G377"/>
  <c r="R376"/>
  <c r="AD376" s="1"/>
  <c r="M376"/>
  <c r="R375"/>
  <c r="AD375" s="1"/>
  <c r="M375"/>
  <c r="I375" s="1"/>
  <c r="AC374"/>
  <c r="AB374"/>
  <c r="AA374"/>
  <c r="Z374"/>
  <c r="Y374"/>
  <c r="X374"/>
  <c r="W374"/>
  <c r="V374"/>
  <c r="U374"/>
  <c r="T374"/>
  <c r="S374"/>
  <c r="Q374"/>
  <c r="P374"/>
  <c r="O374"/>
  <c r="N374"/>
  <c r="L374"/>
  <c r="K374"/>
  <c r="J374"/>
  <c r="H374"/>
  <c r="G374"/>
  <c r="R373"/>
  <c r="N373"/>
  <c r="I373" s="1"/>
  <c r="AC372"/>
  <c r="AB372"/>
  <c r="AA372"/>
  <c r="Z372"/>
  <c r="Y372"/>
  <c r="X372"/>
  <c r="W372"/>
  <c r="V372"/>
  <c r="U372"/>
  <c r="T372"/>
  <c r="S372"/>
  <c r="Q372"/>
  <c r="P372"/>
  <c r="O372"/>
  <c r="M372"/>
  <c r="L372"/>
  <c r="K372"/>
  <c r="J372"/>
  <c r="H372"/>
  <c r="G372"/>
  <c r="R371"/>
  <c r="R370" s="1"/>
  <c r="I371"/>
  <c r="AC370"/>
  <c r="AB370"/>
  <c r="AA370"/>
  <c r="Z370"/>
  <c r="Y370"/>
  <c r="X370"/>
  <c r="W370"/>
  <c r="V370"/>
  <c r="U370"/>
  <c r="T370"/>
  <c r="S370"/>
  <c r="Q370"/>
  <c r="P370"/>
  <c r="O370"/>
  <c r="N370"/>
  <c r="M370"/>
  <c r="L370"/>
  <c r="K370"/>
  <c r="J370"/>
  <c r="H370"/>
  <c r="G370"/>
  <c r="AD369"/>
  <c r="R368"/>
  <c r="AD368" s="1"/>
  <c r="M368"/>
  <c r="M566" s="1"/>
  <c r="M565" s="1"/>
  <c r="AC367"/>
  <c r="AB367"/>
  <c r="AA367"/>
  <c r="Z367"/>
  <c r="Y367"/>
  <c r="X367"/>
  <c r="W367"/>
  <c r="V367"/>
  <c r="U367"/>
  <c r="T367"/>
  <c r="S367"/>
  <c r="Q367"/>
  <c r="P367"/>
  <c r="O367"/>
  <c r="N367"/>
  <c r="L367"/>
  <c r="K367"/>
  <c r="J367"/>
  <c r="H367"/>
  <c r="G367"/>
  <c r="AD366"/>
  <c r="R365"/>
  <c r="AD365" s="1"/>
  <c r="I365"/>
  <c r="AC364"/>
  <c r="AB364"/>
  <c r="AA364"/>
  <c r="Z364"/>
  <c r="Y364"/>
  <c r="X364"/>
  <c r="W364"/>
  <c r="V364"/>
  <c r="U364"/>
  <c r="T364"/>
  <c r="S364"/>
  <c r="Q364"/>
  <c r="P364"/>
  <c r="O364"/>
  <c r="N364"/>
  <c r="M364"/>
  <c r="L364"/>
  <c r="K364"/>
  <c r="J364"/>
  <c r="H364"/>
  <c r="G364"/>
  <c r="R363"/>
  <c r="AD363" s="1"/>
  <c r="M363"/>
  <c r="I363" s="1"/>
  <c r="AC362"/>
  <c r="AB362"/>
  <c r="AA362"/>
  <c r="Z362"/>
  <c r="Y362"/>
  <c r="X362"/>
  <c r="W362"/>
  <c r="V362"/>
  <c r="U362"/>
  <c r="T362"/>
  <c r="S362"/>
  <c r="Q362"/>
  <c r="P362"/>
  <c r="O362"/>
  <c r="N362"/>
  <c r="L362"/>
  <c r="K362"/>
  <c r="J362"/>
  <c r="H362"/>
  <c r="G362"/>
  <c r="I361"/>
  <c r="I360"/>
  <c r="AC359"/>
  <c r="AB359"/>
  <c r="AA359"/>
  <c r="Z359"/>
  <c r="Y359"/>
  <c r="X359"/>
  <c r="W359"/>
  <c r="V359"/>
  <c r="U359"/>
  <c r="Q359"/>
  <c r="P359"/>
  <c r="O359"/>
  <c r="N359"/>
  <c r="M359"/>
  <c r="L359"/>
  <c r="K359"/>
  <c r="J359"/>
  <c r="H359"/>
  <c r="G359"/>
  <c r="R358"/>
  <c r="AD358" s="1"/>
  <c r="I358"/>
  <c r="R357"/>
  <c r="AD357" s="1"/>
  <c r="I357"/>
  <c r="AC356"/>
  <c r="AB356"/>
  <c r="AA356"/>
  <c r="Z356"/>
  <c r="Y356"/>
  <c r="X356"/>
  <c r="W356"/>
  <c r="V356"/>
  <c r="U356"/>
  <c r="T356"/>
  <c r="S356"/>
  <c r="Q356"/>
  <c r="P356"/>
  <c r="O356"/>
  <c r="N356"/>
  <c r="M356"/>
  <c r="L356"/>
  <c r="K356"/>
  <c r="J356"/>
  <c r="H356"/>
  <c r="G356"/>
  <c r="R355"/>
  <c r="AD355" s="1"/>
  <c r="I355"/>
  <c r="R354"/>
  <c r="AD354" s="1"/>
  <c r="I354"/>
  <c r="AC353"/>
  <c r="AB353"/>
  <c r="AA353"/>
  <c r="Z353"/>
  <c r="Y353"/>
  <c r="X353"/>
  <c r="W353"/>
  <c r="V353"/>
  <c r="U353"/>
  <c r="T353"/>
  <c r="S353"/>
  <c r="Q353"/>
  <c r="P353"/>
  <c r="O353"/>
  <c r="N353"/>
  <c r="M353"/>
  <c r="L353"/>
  <c r="K353"/>
  <c r="J353"/>
  <c r="H353"/>
  <c r="G353"/>
  <c r="R352"/>
  <c r="AD352" s="1"/>
  <c r="AD562" s="1"/>
  <c r="I352"/>
  <c r="I562" s="1"/>
  <c r="R351"/>
  <c r="Q351"/>
  <c r="Q560" s="1"/>
  <c r="M351"/>
  <c r="I351" s="1"/>
  <c r="AC350"/>
  <c r="AB350"/>
  <c r="AA350"/>
  <c r="Z350"/>
  <c r="Y350"/>
  <c r="X350"/>
  <c r="W350"/>
  <c r="V350"/>
  <c r="U350"/>
  <c r="T350"/>
  <c r="S350"/>
  <c r="P350"/>
  <c r="O350"/>
  <c r="N350"/>
  <c r="L350"/>
  <c r="K350"/>
  <c r="J350"/>
  <c r="H350"/>
  <c r="G350"/>
  <c r="AD349"/>
  <c r="R348"/>
  <c r="AD348" s="1"/>
  <c r="I348"/>
  <c r="AC347"/>
  <c r="AB347"/>
  <c r="AA347"/>
  <c r="Z347"/>
  <c r="Y347"/>
  <c r="X347"/>
  <c r="W347"/>
  <c r="V347"/>
  <c r="U347"/>
  <c r="T347"/>
  <c r="S347"/>
  <c r="Q347"/>
  <c r="P347"/>
  <c r="O347"/>
  <c r="N347"/>
  <c r="M347"/>
  <c r="L347"/>
  <c r="K347"/>
  <c r="J347"/>
  <c r="H347"/>
  <c r="G347"/>
  <c r="R346"/>
  <c r="AD346" s="1"/>
  <c r="I346"/>
  <c r="AC345"/>
  <c r="AB345"/>
  <c r="AA345"/>
  <c r="Z345"/>
  <c r="Y345"/>
  <c r="X345"/>
  <c r="W345"/>
  <c r="V345"/>
  <c r="U345"/>
  <c r="T345"/>
  <c r="S345"/>
  <c r="Q345"/>
  <c r="P345"/>
  <c r="O345"/>
  <c r="N345"/>
  <c r="M345"/>
  <c r="L345"/>
  <c r="K345"/>
  <c r="J345"/>
  <c r="H345"/>
  <c r="G345"/>
  <c r="R344"/>
  <c r="AD344" s="1"/>
  <c r="N344"/>
  <c r="N554" s="1"/>
  <c r="N553" s="1"/>
  <c r="AC343"/>
  <c r="AB343"/>
  <c r="AA343"/>
  <c r="Z343"/>
  <c r="Y343"/>
  <c r="X343"/>
  <c r="W343"/>
  <c r="V343"/>
  <c r="U343"/>
  <c r="T343"/>
  <c r="S343"/>
  <c r="Q343"/>
  <c r="P343"/>
  <c r="O343"/>
  <c r="M343"/>
  <c r="L343"/>
  <c r="K343"/>
  <c r="J343"/>
  <c r="H343"/>
  <c r="G343"/>
  <c r="R342"/>
  <c r="AD342" s="1"/>
  <c r="I342"/>
  <c r="AC341"/>
  <c r="AB341"/>
  <c r="AA341"/>
  <c r="Z341"/>
  <c r="Y341"/>
  <c r="X341"/>
  <c r="W341"/>
  <c r="V341"/>
  <c r="U341"/>
  <c r="T341"/>
  <c r="S341"/>
  <c r="Q341"/>
  <c r="P341"/>
  <c r="O341"/>
  <c r="N341"/>
  <c r="M341"/>
  <c r="L341"/>
  <c r="K341"/>
  <c r="J341"/>
  <c r="H341"/>
  <c r="G341"/>
  <c r="R340"/>
  <c r="AD340" s="1"/>
  <c r="I340"/>
  <c r="AC339"/>
  <c r="AB339"/>
  <c r="AA339"/>
  <c r="Z339"/>
  <c r="Y339"/>
  <c r="X339"/>
  <c r="W339"/>
  <c r="V339"/>
  <c r="U339"/>
  <c r="T339"/>
  <c r="S339"/>
  <c r="Q339"/>
  <c r="P339"/>
  <c r="O339"/>
  <c r="N339"/>
  <c r="M339"/>
  <c r="L339"/>
  <c r="K339"/>
  <c r="J339"/>
  <c r="H339"/>
  <c r="G339"/>
  <c r="AD338"/>
  <c r="R337"/>
  <c r="AD337" s="1"/>
  <c r="I337"/>
  <c r="AC336"/>
  <c r="AB336"/>
  <c r="AA336"/>
  <c r="Z336"/>
  <c r="Y336"/>
  <c r="X336"/>
  <c r="W336"/>
  <c r="V336"/>
  <c r="U336"/>
  <c r="T336"/>
  <c r="S336"/>
  <c r="Q336"/>
  <c r="P336"/>
  <c r="O336"/>
  <c r="N336"/>
  <c r="M336"/>
  <c r="L336"/>
  <c r="K336"/>
  <c r="J336"/>
  <c r="H336"/>
  <c r="G336"/>
  <c r="R335"/>
  <c r="AD335" s="1"/>
  <c r="I335"/>
  <c r="AC334"/>
  <c r="AB334"/>
  <c r="AA334"/>
  <c r="Z334"/>
  <c r="Y334"/>
  <c r="X334"/>
  <c r="W334"/>
  <c r="V334"/>
  <c r="U334"/>
  <c r="T334"/>
  <c r="S334"/>
  <c r="Q334"/>
  <c r="P334"/>
  <c r="O334"/>
  <c r="N334"/>
  <c r="M334"/>
  <c r="L334"/>
  <c r="K334"/>
  <c r="J334"/>
  <c r="H334"/>
  <c r="G334"/>
  <c r="R333"/>
  <c r="AD333" s="1"/>
  <c r="I333"/>
  <c r="R332"/>
  <c r="AD332" s="1"/>
  <c r="I332"/>
  <c r="AC331"/>
  <c r="AB331"/>
  <c r="AA331"/>
  <c r="Z331"/>
  <c r="Y331"/>
  <c r="X331"/>
  <c r="W331"/>
  <c r="V331"/>
  <c r="U331"/>
  <c r="T331"/>
  <c r="S331"/>
  <c r="Q331"/>
  <c r="P331"/>
  <c r="O331"/>
  <c r="N331"/>
  <c r="M331"/>
  <c r="L331"/>
  <c r="K331"/>
  <c r="J331"/>
  <c r="H331"/>
  <c r="G331"/>
  <c r="R330"/>
  <c r="AD330" s="1"/>
  <c r="I330"/>
  <c r="R329"/>
  <c r="AD329" s="1"/>
  <c r="I329"/>
  <c r="AC328"/>
  <c r="AB328"/>
  <c r="AA328"/>
  <c r="Z328"/>
  <c r="Y328"/>
  <c r="X328"/>
  <c r="W328"/>
  <c r="V328"/>
  <c r="U328"/>
  <c r="T328"/>
  <c r="S328"/>
  <c r="Q328"/>
  <c r="P328"/>
  <c r="O328"/>
  <c r="N328"/>
  <c r="M328"/>
  <c r="L328"/>
  <c r="K328"/>
  <c r="J328"/>
  <c r="H328"/>
  <c r="G328"/>
  <c r="R327"/>
  <c r="AD327" s="1"/>
  <c r="I327"/>
  <c r="R326"/>
  <c r="AD326" s="1"/>
  <c r="I326"/>
  <c r="AC325"/>
  <c r="AB325"/>
  <c r="AA325"/>
  <c r="Z325"/>
  <c r="Y325"/>
  <c r="X325"/>
  <c r="W325"/>
  <c r="V325"/>
  <c r="U325"/>
  <c r="T325"/>
  <c r="S325"/>
  <c r="Q325"/>
  <c r="P325"/>
  <c r="O325"/>
  <c r="N325"/>
  <c r="M325"/>
  <c r="L325"/>
  <c r="K325"/>
  <c r="J325"/>
  <c r="H325"/>
  <c r="G325"/>
  <c r="R324"/>
  <c r="AD324" s="1"/>
  <c r="I324"/>
  <c r="R323"/>
  <c r="AD323" s="1"/>
  <c r="I323"/>
  <c r="AC322"/>
  <c r="AB322"/>
  <c r="AA322"/>
  <c r="Z322"/>
  <c r="Y322"/>
  <c r="X322"/>
  <c r="W322"/>
  <c r="V322"/>
  <c r="U322"/>
  <c r="T322"/>
  <c r="S322"/>
  <c r="Q322"/>
  <c r="P322"/>
  <c r="O322"/>
  <c r="N322"/>
  <c r="M322"/>
  <c r="L322"/>
  <c r="K322"/>
  <c r="J322"/>
  <c r="H322"/>
  <c r="G322"/>
  <c r="R321"/>
  <c r="AD321" s="1"/>
  <c r="I321"/>
  <c r="R320"/>
  <c r="AD320" s="1"/>
  <c r="I320"/>
  <c r="AC319"/>
  <c r="AB319"/>
  <c r="AA319"/>
  <c r="Z319"/>
  <c r="Y319"/>
  <c r="X319"/>
  <c r="W319"/>
  <c r="V319"/>
  <c r="U319"/>
  <c r="T319"/>
  <c r="S319"/>
  <c r="Q319"/>
  <c r="P319"/>
  <c r="O319"/>
  <c r="N319"/>
  <c r="M319"/>
  <c r="L319"/>
  <c r="K319"/>
  <c r="J319"/>
  <c r="H319"/>
  <c r="G319"/>
  <c r="R318"/>
  <c r="AD318" s="1"/>
  <c r="I318"/>
  <c r="R317"/>
  <c r="AD317" s="1"/>
  <c r="I317"/>
  <c r="AC316"/>
  <c r="AB316"/>
  <c r="AA316"/>
  <c r="Z316"/>
  <c r="Y316"/>
  <c r="X316"/>
  <c r="W316"/>
  <c r="V316"/>
  <c r="U316"/>
  <c r="T316"/>
  <c r="S316"/>
  <c r="Q316"/>
  <c r="P316"/>
  <c r="O316"/>
  <c r="N316"/>
  <c r="M316"/>
  <c r="L316"/>
  <c r="K316"/>
  <c r="J316"/>
  <c r="H316"/>
  <c r="G316"/>
  <c r="R315"/>
  <c r="AD315" s="1"/>
  <c r="I315"/>
  <c r="R314"/>
  <c r="AD314" s="1"/>
  <c r="M314"/>
  <c r="I314" s="1"/>
  <c r="AC313"/>
  <c r="AB313"/>
  <c r="AA313"/>
  <c r="Z313"/>
  <c r="Y313"/>
  <c r="X313"/>
  <c r="W313"/>
  <c r="V313"/>
  <c r="U313"/>
  <c r="T313"/>
  <c r="S313"/>
  <c r="Q313"/>
  <c r="P313"/>
  <c r="O313"/>
  <c r="N313"/>
  <c r="L313"/>
  <c r="K313"/>
  <c r="J313"/>
  <c r="H313"/>
  <c r="G313"/>
  <c r="R312"/>
  <c r="AD312" s="1"/>
  <c r="I312"/>
  <c r="AC311"/>
  <c r="AB311"/>
  <c r="AA311"/>
  <c r="Z311"/>
  <c r="Y311"/>
  <c r="X311"/>
  <c r="W311"/>
  <c r="V311"/>
  <c r="U311"/>
  <c r="T311"/>
  <c r="S311"/>
  <c r="Q311"/>
  <c r="P311"/>
  <c r="O311"/>
  <c r="N311"/>
  <c r="M311"/>
  <c r="L311"/>
  <c r="K311"/>
  <c r="J311"/>
  <c r="H311"/>
  <c r="G311"/>
  <c r="R310"/>
  <c r="AD310" s="1"/>
  <c r="I310"/>
  <c r="AC309"/>
  <c r="AB309"/>
  <c r="AA309"/>
  <c r="Z309"/>
  <c r="Y309"/>
  <c r="X309"/>
  <c r="W309"/>
  <c r="V309"/>
  <c r="U309"/>
  <c r="T309"/>
  <c r="S309"/>
  <c r="Q309"/>
  <c r="P309"/>
  <c r="O309"/>
  <c r="N309"/>
  <c r="M309"/>
  <c r="L309"/>
  <c r="K309"/>
  <c r="J309"/>
  <c r="H309"/>
  <c r="G309"/>
  <c r="R308"/>
  <c r="AD308" s="1"/>
  <c r="I308"/>
  <c r="R307"/>
  <c r="AD307" s="1"/>
  <c r="I307"/>
  <c r="AC306"/>
  <c r="AB306"/>
  <c r="AA306"/>
  <c r="Z306"/>
  <c r="Y306"/>
  <c r="X306"/>
  <c r="W306"/>
  <c r="V306"/>
  <c r="U306"/>
  <c r="T306"/>
  <c r="S306"/>
  <c r="Q306"/>
  <c r="P306"/>
  <c r="O306"/>
  <c r="N306"/>
  <c r="M306"/>
  <c r="L306"/>
  <c r="K306"/>
  <c r="J306"/>
  <c r="H306"/>
  <c r="G306"/>
  <c r="R305"/>
  <c r="AD305" s="1"/>
  <c r="I305"/>
  <c r="R304"/>
  <c r="AD304" s="1"/>
  <c r="I304"/>
  <c r="AC303"/>
  <c r="AB303"/>
  <c r="AA303"/>
  <c r="Z303"/>
  <c r="Y303"/>
  <c r="X303"/>
  <c r="W303"/>
  <c r="V303"/>
  <c r="U303"/>
  <c r="T303"/>
  <c r="S303"/>
  <c r="Q303"/>
  <c r="P303"/>
  <c r="O303"/>
  <c r="N303"/>
  <c r="M303"/>
  <c r="L303"/>
  <c r="K303"/>
  <c r="J303"/>
  <c r="H303"/>
  <c r="G303"/>
  <c r="R302"/>
  <c r="AD302" s="1"/>
  <c r="M302"/>
  <c r="R301"/>
  <c r="AD301" s="1"/>
  <c r="M301"/>
  <c r="I301" s="1"/>
  <c r="AC300"/>
  <c r="AB300"/>
  <c r="AA300"/>
  <c r="Z300"/>
  <c r="Y300"/>
  <c r="X300"/>
  <c r="W300"/>
  <c r="V300"/>
  <c r="U300"/>
  <c r="T300"/>
  <c r="S300"/>
  <c r="Q300"/>
  <c r="P300"/>
  <c r="O300"/>
  <c r="N300"/>
  <c r="L300"/>
  <c r="K300"/>
  <c r="J300"/>
  <c r="H300"/>
  <c r="G300"/>
  <c r="R299"/>
  <c r="AD299" s="1"/>
  <c r="I299"/>
  <c r="R298"/>
  <c r="AD298" s="1"/>
  <c r="I298"/>
  <c r="AC297"/>
  <c r="AB297"/>
  <c r="AA297"/>
  <c r="Z297"/>
  <c r="Y297"/>
  <c r="X297"/>
  <c r="W297"/>
  <c r="V297"/>
  <c r="U297"/>
  <c r="T297"/>
  <c r="S297"/>
  <c r="Q297"/>
  <c r="P297"/>
  <c r="O297"/>
  <c r="N297"/>
  <c r="M297"/>
  <c r="L297"/>
  <c r="K297"/>
  <c r="J297"/>
  <c r="H297"/>
  <c r="G297"/>
  <c r="R296"/>
  <c r="R551" s="1"/>
  <c r="I296"/>
  <c r="R295"/>
  <c r="P295"/>
  <c r="P548" s="1"/>
  <c r="O295"/>
  <c r="O548" s="1"/>
  <c r="AC294"/>
  <c r="AB294"/>
  <c r="AA294"/>
  <c r="Z294"/>
  <c r="Y294"/>
  <c r="X294"/>
  <c r="W294"/>
  <c r="V294"/>
  <c r="U294"/>
  <c r="T294"/>
  <c r="S294"/>
  <c r="Q294"/>
  <c r="N294"/>
  <c r="M294"/>
  <c r="L294"/>
  <c r="K294"/>
  <c r="J294"/>
  <c r="H294"/>
  <c r="G294"/>
  <c r="R293"/>
  <c r="AD293" s="1"/>
  <c r="I293"/>
  <c r="R292"/>
  <c r="AD292" s="1"/>
  <c r="I292"/>
  <c r="AC291"/>
  <c r="AB291"/>
  <c r="AA291"/>
  <c r="Z291"/>
  <c r="Y291"/>
  <c r="X291"/>
  <c r="W291"/>
  <c r="V291"/>
  <c r="U291"/>
  <c r="T291"/>
  <c r="S291"/>
  <c r="Q291"/>
  <c r="P291"/>
  <c r="O291"/>
  <c r="N291"/>
  <c r="M291"/>
  <c r="L291"/>
  <c r="K291"/>
  <c r="J291"/>
  <c r="H291"/>
  <c r="G291"/>
  <c r="R290"/>
  <c r="AD290" s="1"/>
  <c r="I290"/>
  <c r="R289"/>
  <c r="AD289" s="1"/>
  <c r="I289"/>
  <c r="AC288"/>
  <c r="AB288"/>
  <c r="AA288"/>
  <c r="Z288"/>
  <c r="Y288"/>
  <c r="X288"/>
  <c r="W288"/>
  <c r="V288"/>
  <c r="U288"/>
  <c r="T288"/>
  <c r="S288"/>
  <c r="Q288"/>
  <c r="P288"/>
  <c r="O288"/>
  <c r="N288"/>
  <c r="M288"/>
  <c r="L288"/>
  <c r="K288"/>
  <c r="J288"/>
  <c r="H288"/>
  <c r="G288"/>
  <c r="R287"/>
  <c r="AD287" s="1"/>
  <c r="I287"/>
  <c r="R286"/>
  <c r="AD286" s="1"/>
  <c r="I286"/>
  <c r="AC285"/>
  <c r="AB285"/>
  <c r="AA285"/>
  <c r="Z285"/>
  <c r="Y285"/>
  <c r="X285"/>
  <c r="W285"/>
  <c r="V285"/>
  <c r="U285"/>
  <c r="T285"/>
  <c r="S285"/>
  <c r="Q285"/>
  <c r="P285"/>
  <c r="O285"/>
  <c r="N285"/>
  <c r="M285"/>
  <c r="L285"/>
  <c r="K285"/>
  <c r="J285"/>
  <c r="H285"/>
  <c r="G285"/>
  <c r="R284"/>
  <c r="AD284" s="1"/>
  <c r="I284"/>
  <c r="R283"/>
  <c r="AD283" s="1"/>
  <c r="I283"/>
  <c r="AC282"/>
  <c r="AB282"/>
  <c r="AA282"/>
  <c r="Z282"/>
  <c r="Y282"/>
  <c r="X282"/>
  <c r="W282"/>
  <c r="V282"/>
  <c r="U282"/>
  <c r="T282"/>
  <c r="S282"/>
  <c r="Q282"/>
  <c r="P282"/>
  <c r="O282"/>
  <c r="N282"/>
  <c r="M282"/>
  <c r="L282"/>
  <c r="K282"/>
  <c r="J282"/>
  <c r="H282"/>
  <c r="G282"/>
  <c r="R281"/>
  <c r="AD281" s="1"/>
  <c r="M281"/>
  <c r="R280"/>
  <c r="AD280" s="1"/>
  <c r="M280"/>
  <c r="AC279"/>
  <c r="AB279"/>
  <c r="AA279"/>
  <c r="Z279"/>
  <c r="Y279"/>
  <c r="X279"/>
  <c r="W279"/>
  <c r="V279"/>
  <c r="U279"/>
  <c r="T279"/>
  <c r="S279"/>
  <c r="Q279"/>
  <c r="P279"/>
  <c r="O279"/>
  <c r="N279"/>
  <c r="L279"/>
  <c r="K279"/>
  <c r="J279"/>
  <c r="H279"/>
  <c r="G279"/>
  <c r="R278"/>
  <c r="AD278" s="1"/>
  <c r="I278"/>
  <c r="R277"/>
  <c r="AD277" s="1"/>
  <c r="M277"/>
  <c r="I277" s="1"/>
  <c r="AC276"/>
  <c r="AB276"/>
  <c r="AA276"/>
  <c r="Z276"/>
  <c r="Y276"/>
  <c r="X276"/>
  <c r="W276"/>
  <c r="V276"/>
  <c r="U276"/>
  <c r="T276"/>
  <c r="S276"/>
  <c r="Q276"/>
  <c r="P276"/>
  <c r="O276"/>
  <c r="N276"/>
  <c r="L276"/>
  <c r="K276"/>
  <c r="J276"/>
  <c r="H276"/>
  <c r="G276"/>
  <c r="R275"/>
  <c r="M275"/>
  <c r="I275" s="1"/>
  <c r="AC274"/>
  <c r="AB274"/>
  <c r="AA274"/>
  <c r="Z274"/>
  <c r="Y274"/>
  <c r="X274"/>
  <c r="W274"/>
  <c r="V274"/>
  <c r="U274"/>
  <c r="T274"/>
  <c r="S274"/>
  <c r="Q274"/>
  <c r="P274"/>
  <c r="O274"/>
  <c r="N274"/>
  <c r="L274"/>
  <c r="K274"/>
  <c r="J274"/>
  <c r="H274"/>
  <c r="G274"/>
  <c r="AD273"/>
  <c r="R272"/>
  <c r="AD272" s="1"/>
  <c r="I272"/>
  <c r="AC271"/>
  <c r="AB271"/>
  <c r="AA271"/>
  <c r="Z271"/>
  <c r="Y271"/>
  <c r="X271"/>
  <c r="W271"/>
  <c r="V271"/>
  <c r="U271"/>
  <c r="T271"/>
  <c r="S271"/>
  <c r="Q271"/>
  <c r="P271"/>
  <c r="O271"/>
  <c r="N271"/>
  <c r="M271"/>
  <c r="L271"/>
  <c r="K271"/>
  <c r="J271"/>
  <c r="H271"/>
  <c r="G271"/>
  <c r="R270"/>
  <c r="I270"/>
  <c r="I543" s="1"/>
  <c r="R269"/>
  <c r="AD269" s="1"/>
  <c r="I269"/>
  <c r="AC268"/>
  <c r="AB268"/>
  <c r="AA268"/>
  <c r="Z268"/>
  <c r="Y268"/>
  <c r="X268"/>
  <c r="W268"/>
  <c r="V268"/>
  <c r="U268"/>
  <c r="T268"/>
  <c r="S268"/>
  <c r="Q268"/>
  <c r="P268"/>
  <c r="O268"/>
  <c r="N268"/>
  <c r="M268"/>
  <c r="L268"/>
  <c r="K268"/>
  <c r="J268"/>
  <c r="H268"/>
  <c r="G268"/>
  <c r="R267"/>
  <c r="AD267" s="1"/>
  <c r="I267"/>
  <c r="AC266"/>
  <c r="AB266"/>
  <c r="AA266"/>
  <c r="Z266"/>
  <c r="Y266"/>
  <c r="X266"/>
  <c r="W266"/>
  <c r="V266"/>
  <c r="U266"/>
  <c r="T266"/>
  <c r="S266"/>
  <c r="Q266"/>
  <c r="P266"/>
  <c r="O266"/>
  <c r="N266"/>
  <c r="M266"/>
  <c r="L266"/>
  <c r="K266"/>
  <c r="J266"/>
  <c r="H266"/>
  <c r="G266"/>
  <c r="AD265"/>
  <c r="R264"/>
  <c r="AD264" s="1"/>
  <c r="I264"/>
  <c r="AC263"/>
  <c r="AB263"/>
  <c r="AA263"/>
  <c r="Z263"/>
  <c r="Y263"/>
  <c r="X263"/>
  <c r="W263"/>
  <c r="V263"/>
  <c r="U263"/>
  <c r="T263"/>
  <c r="S263"/>
  <c r="Q263"/>
  <c r="P263"/>
  <c r="O263"/>
  <c r="N263"/>
  <c r="M263"/>
  <c r="L263"/>
  <c r="K263"/>
  <c r="J263"/>
  <c r="H263"/>
  <c r="G263"/>
  <c r="I262"/>
  <c r="F262" s="1"/>
  <c r="F261" s="1"/>
  <c r="N261"/>
  <c r="M261"/>
  <c r="I260"/>
  <c r="F260" s="1"/>
  <c r="E259" s="1"/>
  <c r="N259"/>
  <c r="M259"/>
  <c r="R252"/>
  <c r="AD252" s="1"/>
  <c r="I252"/>
  <c r="R251"/>
  <c r="AD251" s="1"/>
  <c r="O536"/>
  <c r="N251"/>
  <c r="N536" s="1"/>
  <c r="M251"/>
  <c r="AC250"/>
  <c r="AB250"/>
  <c r="AA250"/>
  <c r="Z250"/>
  <c r="Y250"/>
  <c r="X250"/>
  <c r="W250"/>
  <c r="V250"/>
  <c r="U250"/>
  <c r="T250"/>
  <c r="S250"/>
  <c r="Q250"/>
  <c r="P250"/>
  <c r="O250"/>
  <c r="L250"/>
  <c r="K250"/>
  <c r="J250"/>
  <c r="H250"/>
  <c r="G250"/>
  <c r="R249"/>
  <c r="AD249" s="1"/>
  <c r="I249"/>
  <c r="R248"/>
  <c r="AD248" s="1"/>
  <c r="I248"/>
  <c r="AC247"/>
  <c r="AB247"/>
  <c r="AA247"/>
  <c r="Z247"/>
  <c r="Y247"/>
  <c r="X247"/>
  <c r="W247"/>
  <c r="V247"/>
  <c r="U247"/>
  <c r="T247"/>
  <c r="S247"/>
  <c r="Q247"/>
  <c r="P247"/>
  <c r="O247"/>
  <c r="N247"/>
  <c r="M247"/>
  <c r="L247"/>
  <c r="K247"/>
  <c r="J247"/>
  <c r="H247"/>
  <c r="G247"/>
  <c r="R246"/>
  <c r="AD246" s="1"/>
  <c r="I246"/>
  <c r="R245"/>
  <c r="AD245" s="1"/>
  <c r="I245"/>
  <c r="AC244"/>
  <c r="AB244"/>
  <c r="AA244"/>
  <c r="Z244"/>
  <c r="Y244"/>
  <c r="X244"/>
  <c r="W244"/>
  <c r="V244"/>
  <c r="U244"/>
  <c r="T244"/>
  <c r="S244"/>
  <c r="Q244"/>
  <c r="P244"/>
  <c r="O244"/>
  <c r="N244"/>
  <c r="M244"/>
  <c r="L244"/>
  <c r="K244"/>
  <c r="J244"/>
  <c r="H244"/>
  <c r="G244"/>
  <c r="R243"/>
  <c r="AD243" s="1"/>
  <c r="I243"/>
  <c r="R242"/>
  <c r="AD242" s="1"/>
  <c r="I242"/>
  <c r="AC241"/>
  <c r="AB241"/>
  <c r="AA241"/>
  <c r="Z241"/>
  <c r="Y241"/>
  <c r="X241"/>
  <c r="W241"/>
  <c r="V241"/>
  <c r="U241"/>
  <c r="T241"/>
  <c r="S241"/>
  <c r="Q241"/>
  <c r="P241"/>
  <c r="O241"/>
  <c r="N241"/>
  <c r="M241"/>
  <c r="L241"/>
  <c r="K241"/>
  <c r="J241"/>
  <c r="H241"/>
  <c r="G241"/>
  <c r="R240"/>
  <c r="AD240" s="1"/>
  <c r="I240"/>
  <c r="R239"/>
  <c r="AD239" s="1"/>
  <c r="I239"/>
  <c r="AC238"/>
  <c r="AB238"/>
  <c r="AA238"/>
  <c r="Z238"/>
  <c r="Y238"/>
  <c r="X238"/>
  <c r="W238"/>
  <c r="V238"/>
  <c r="U238"/>
  <c r="T238"/>
  <c r="S238"/>
  <c r="Q238"/>
  <c r="P238"/>
  <c r="O238"/>
  <c r="N238"/>
  <c r="M238"/>
  <c r="L238"/>
  <c r="K238"/>
  <c r="J238"/>
  <c r="H238"/>
  <c r="G238"/>
  <c r="R237"/>
  <c r="I237"/>
  <c r="R236"/>
  <c r="AD236" s="1"/>
  <c r="I236"/>
  <c r="AC235"/>
  <c r="AB235"/>
  <c r="AA235"/>
  <c r="Z235"/>
  <c r="Y235"/>
  <c r="X235"/>
  <c r="W235"/>
  <c r="V235"/>
  <c r="U235"/>
  <c r="T235"/>
  <c r="S235"/>
  <c r="Q235"/>
  <c r="P235"/>
  <c r="O235"/>
  <c r="N235"/>
  <c r="M235"/>
  <c r="L235"/>
  <c r="K235"/>
  <c r="J235"/>
  <c r="H235"/>
  <c r="G235"/>
  <c r="R234"/>
  <c r="AD234" s="1"/>
  <c r="M234"/>
  <c r="I234" s="1"/>
  <c r="R233"/>
  <c r="AD233" s="1"/>
  <c r="M233"/>
  <c r="I233" s="1"/>
  <c r="AC232"/>
  <c r="AB232"/>
  <c r="AA232"/>
  <c r="Z232"/>
  <c r="Y232"/>
  <c r="X232"/>
  <c r="W232"/>
  <c r="V232"/>
  <c r="U232"/>
  <c r="T232"/>
  <c r="S232"/>
  <c r="Q232"/>
  <c r="P232"/>
  <c r="O232"/>
  <c r="N232"/>
  <c r="L232"/>
  <c r="K232"/>
  <c r="J232"/>
  <c r="H232"/>
  <c r="G232"/>
  <c r="R231"/>
  <c r="AD231" s="1"/>
  <c r="I231"/>
  <c r="AC230"/>
  <c r="AB230"/>
  <c r="AA230"/>
  <c r="Z230"/>
  <c r="Y230"/>
  <c r="X230"/>
  <c r="W230"/>
  <c r="V230"/>
  <c r="U230"/>
  <c r="T230"/>
  <c r="S230"/>
  <c r="Q230"/>
  <c r="P230"/>
  <c r="O230"/>
  <c r="N230"/>
  <c r="M230"/>
  <c r="L230"/>
  <c r="K230"/>
  <c r="J230"/>
  <c r="R229"/>
  <c r="R540" s="1"/>
  <c r="I229"/>
  <c r="I540" s="1"/>
  <c r="R228"/>
  <c r="AD228" s="1"/>
  <c r="I228"/>
  <c r="R227"/>
  <c r="M227"/>
  <c r="I227" s="1"/>
  <c r="AC226"/>
  <c r="AB226"/>
  <c r="AA226"/>
  <c r="Z226"/>
  <c r="Y226"/>
  <c r="X226"/>
  <c r="W226"/>
  <c r="V226"/>
  <c r="U226"/>
  <c r="T226"/>
  <c r="S226"/>
  <c r="Q226"/>
  <c r="P226"/>
  <c r="O226"/>
  <c r="N226"/>
  <c r="L226"/>
  <c r="K226"/>
  <c r="J226"/>
  <c r="R225"/>
  <c r="AD225" s="1"/>
  <c r="M225"/>
  <c r="M223" s="1"/>
  <c r="R224"/>
  <c r="AD224" s="1"/>
  <c r="M224"/>
  <c r="I224" s="1"/>
  <c r="AC223"/>
  <c r="AB223"/>
  <c r="AA223"/>
  <c r="Z223"/>
  <c r="Y223"/>
  <c r="X223"/>
  <c r="W223"/>
  <c r="V223"/>
  <c r="U223"/>
  <c r="T223"/>
  <c r="S223"/>
  <c r="Q223"/>
  <c r="P223"/>
  <c r="O223"/>
  <c r="N223"/>
  <c r="L223"/>
  <c r="K223"/>
  <c r="J223"/>
  <c r="H223"/>
  <c r="G223"/>
  <c r="R222"/>
  <c r="AD222" s="1"/>
  <c r="M222"/>
  <c r="M221" s="1"/>
  <c r="AC221"/>
  <c r="AB221"/>
  <c r="AA221"/>
  <c r="Z221"/>
  <c r="Y221"/>
  <c r="X221"/>
  <c r="W221"/>
  <c r="V221"/>
  <c r="U221"/>
  <c r="T221"/>
  <c r="S221"/>
  <c r="Q221"/>
  <c r="P221"/>
  <c r="O221"/>
  <c r="N221"/>
  <c r="L221"/>
  <c r="K221"/>
  <c r="J221"/>
  <c r="AD220"/>
  <c r="R219"/>
  <c r="AD219" s="1"/>
  <c r="I219"/>
  <c r="AC218"/>
  <c r="AB218"/>
  <c r="AA218"/>
  <c r="Z218"/>
  <c r="Y218"/>
  <c r="X218"/>
  <c r="W218"/>
  <c r="V218"/>
  <c r="U218"/>
  <c r="T218"/>
  <c r="S218"/>
  <c r="Q218"/>
  <c r="P218"/>
  <c r="O218"/>
  <c r="N218"/>
  <c r="M218"/>
  <c r="L218"/>
  <c r="K218"/>
  <c r="J218"/>
  <c r="H218"/>
  <c r="G218"/>
  <c r="R217"/>
  <c r="AD217" s="1"/>
  <c r="I217"/>
  <c r="S216"/>
  <c r="R216" s="1"/>
  <c r="Q216"/>
  <c r="P216"/>
  <c r="O216"/>
  <c r="N216"/>
  <c r="M216"/>
  <c r="L216"/>
  <c r="K216"/>
  <c r="J216"/>
  <c r="H216"/>
  <c r="G216"/>
  <c r="R215"/>
  <c r="R531" s="1"/>
  <c r="I215"/>
  <c r="I531" s="1"/>
  <c r="R214"/>
  <c r="AD214" s="1"/>
  <c r="I214"/>
  <c r="AC213"/>
  <c r="AB213"/>
  <c r="AA213"/>
  <c r="Z213"/>
  <c r="Y213"/>
  <c r="X213"/>
  <c r="W213"/>
  <c r="V213"/>
  <c r="U213"/>
  <c r="T213"/>
  <c r="S213"/>
  <c r="Q213"/>
  <c r="P213"/>
  <c r="O213"/>
  <c r="N213"/>
  <c r="M213"/>
  <c r="L213"/>
  <c r="K213"/>
  <c r="J213"/>
  <c r="H213"/>
  <c r="G213"/>
  <c r="R212"/>
  <c r="R534" s="1"/>
  <c r="I212"/>
  <c r="I534" s="1"/>
  <c r="R211"/>
  <c r="AD211" s="1"/>
  <c r="I211"/>
  <c r="AC210"/>
  <c r="AB210"/>
  <c r="AA210"/>
  <c r="Z210"/>
  <c r="Y210"/>
  <c r="X210"/>
  <c r="W210"/>
  <c r="V210"/>
  <c r="U210"/>
  <c r="T210"/>
  <c r="S210"/>
  <c r="Q210"/>
  <c r="P210"/>
  <c r="O210"/>
  <c r="N210"/>
  <c r="M210"/>
  <c r="L210"/>
  <c r="K210"/>
  <c r="J210"/>
  <c r="H210"/>
  <c r="G210"/>
  <c r="R209"/>
  <c r="AD209" s="1"/>
  <c r="N209"/>
  <c r="I209" s="1"/>
  <c r="AC208"/>
  <c r="AB208"/>
  <c r="AA208"/>
  <c r="Z208"/>
  <c r="Y208"/>
  <c r="X208"/>
  <c r="W208"/>
  <c r="V208"/>
  <c r="U208"/>
  <c r="T208"/>
  <c r="S208"/>
  <c r="Q208"/>
  <c r="P208"/>
  <c r="O208"/>
  <c r="M208"/>
  <c r="L208"/>
  <c r="K208"/>
  <c r="J208"/>
  <c r="H208"/>
  <c r="G208"/>
  <c r="R207"/>
  <c r="M207"/>
  <c r="M530" s="1"/>
  <c r="AC206"/>
  <c r="AB206"/>
  <c r="AA206"/>
  <c r="Z206"/>
  <c r="Y206"/>
  <c r="X206"/>
  <c r="W206"/>
  <c r="V206"/>
  <c r="U206"/>
  <c r="T206"/>
  <c r="S206"/>
  <c r="Q206"/>
  <c r="P206"/>
  <c r="O206"/>
  <c r="N206"/>
  <c r="L206"/>
  <c r="K206"/>
  <c r="J206"/>
  <c r="H206"/>
  <c r="G206"/>
  <c r="AD205"/>
  <c r="R204"/>
  <c r="AD204" s="1"/>
  <c r="I204"/>
  <c r="AC203"/>
  <c r="AB203"/>
  <c r="AA203"/>
  <c r="Z203"/>
  <c r="Y203"/>
  <c r="X203"/>
  <c r="W203"/>
  <c r="V203"/>
  <c r="U203"/>
  <c r="T203"/>
  <c r="S203"/>
  <c r="Q203"/>
  <c r="P203"/>
  <c r="O203"/>
  <c r="N203"/>
  <c r="M203"/>
  <c r="L203"/>
  <c r="K203"/>
  <c r="J203"/>
  <c r="H203"/>
  <c r="G203"/>
  <c r="R202"/>
  <c r="AD202" s="1"/>
  <c r="AC201"/>
  <c r="AB201"/>
  <c r="AA201"/>
  <c r="Z201"/>
  <c r="Y201"/>
  <c r="X201"/>
  <c r="W201"/>
  <c r="V201"/>
  <c r="U201"/>
  <c r="T201"/>
  <c r="S201"/>
  <c r="Q201"/>
  <c r="N201"/>
  <c r="M201"/>
  <c r="L201"/>
  <c r="K201"/>
  <c r="J201"/>
  <c r="H201"/>
  <c r="G201"/>
  <c r="R200"/>
  <c r="AD200" s="1"/>
  <c r="I200"/>
  <c r="AC199"/>
  <c r="AB199"/>
  <c r="AA199"/>
  <c r="Z199"/>
  <c r="Y199"/>
  <c r="X199"/>
  <c r="W199"/>
  <c r="V199"/>
  <c r="U199"/>
  <c r="T199"/>
  <c r="S199"/>
  <c r="Q199"/>
  <c r="P199"/>
  <c r="O199"/>
  <c r="N199"/>
  <c r="M199"/>
  <c r="L199"/>
  <c r="K199"/>
  <c r="J199"/>
  <c r="H199"/>
  <c r="G199"/>
  <c r="R198"/>
  <c r="AD198" s="1"/>
  <c r="I198"/>
  <c r="AC197"/>
  <c r="AB197"/>
  <c r="AA197"/>
  <c r="Z197"/>
  <c r="Y197"/>
  <c r="X197"/>
  <c r="W197"/>
  <c r="V197"/>
  <c r="U197"/>
  <c r="T197"/>
  <c r="S197"/>
  <c r="Q197"/>
  <c r="P197"/>
  <c r="O197"/>
  <c r="N197"/>
  <c r="M197"/>
  <c r="L197"/>
  <c r="K197"/>
  <c r="J197"/>
  <c r="R196"/>
  <c r="AD196" s="1"/>
  <c r="I196"/>
  <c r="R195"/>
  <c r="AD195" s="1"/>
  <c r="I195"/>
  <c r="R194"/>
  <c r="AD194" s="1"/>
  <c r="N194"/>
  <c r="N193" s="1"/>
  <c r="AC193"/>
  <c r="AB193"/>
  <c r="AA193"/>
  <c r="Z193"/>
  <c r="Y193"/>
  <c r="X193"/>
  <c r="W193"/>
  <c r="V193"/>
  <c r="U193"/>
  <c r="T193"/>
  <c r="S193"/>
  <c r="Q193"/>
  <c r="P193"/>
  <c r="M193"/>
  <c r="L193"/>
  <c r="K193"/>
  <c r="J193"/>
  <c r="R192"/>
  <c r="AD192" s="1"/>
  <c r="AD526" s="1"/>
  <c r="I192"/>
  <c r="I526" s="1"/>
  <c r="R191"/>
  <c r="AD191" s="1"/>
  <c r="M191"/>
  <c r="M189" s="1"/>
  <c r="R190"/>
  <c r="AD190" s="1"/>
  <c r="I190"/>
  <c r="AC189"/>
  <c r="AB189"/>
  <c r="AA189"/>
  <c r="Z189"/>
  <c r="Y189"/>
  <c r="X189"/>
  <c r="W189"/>
  <c r="V189"/>
  <c r="U189"/>
  <c r="T189"/>
  <c r="S189"/>
  <c r="Q189"/>
  <c r="P189"/>
  <c r="O189"/>
  <c r="N189"/>
  <c r="L189"/>
  <c r="K189"/>
  <c r="J189"/>
  <c r="H189"/>
  <c r="G189"/>
  <c r="R185"/>
  <c r="AD185" s="1"/>
  <c r="I185"/>
  <c r="R184"/>
  <c r="AD184" s="1"/>
  <c r="I184"/>
  <c r="AC183"/>
  <c r="AB183"/>
  <c r="AA183"/>
  <c r="Z183"/>
  <c r="Y183"/>
  <c r="X183"/>
  <c r="W183"/>
  <c r="V183"/>
  <c r="U183"/>
  <c r="T183"/>
  <c r="S183"/>
  <c r="Q183"/>
  <c r="P183"/>
  <c r="O183"/>
  <c r="N183"/>
  <c r="M183"/>
  <c r="L183"/>
  <c r="K183"/>
  <c r="J183"/>
  <c r="H183"/>
  <c r="G183"/>
  <c r="R182"/>
  <c r="AD182" s="1"/>
  <c r="I182"/>
  <c r="R181"/>
  <c r="AD181" s="1"/>
  <c r="AC180"/>
  <c r="AB180"/>
  <c r="AA180"/>
  <c r="Z180"/>
  <c r="Y180"/>
  <c r="X180"/>
  <c r="W180"/>
  <c r="V180"/>
  <c r="U180"/>
  <c r="T180"/>
  <c r="S180"/>
  <c r="Q180"/>
  <c r="P180"/>
  <c r="N180"/>
  <c r="M180"/>
  <c r="L180"/>
  <c r="K180"/>
  <c r="J180"/>
  <c r="H180"/>
  <c r="G180"/>
  <c r="R179"/>
  <c r="AD179" s="1"/>
  <c r="I179"/>
  <c r="R178"/>
  <c r="AD178" s="1"/>
  <c r="O177"/>
  <c r="N178"/>
  <c r="N177" s="1"/>
  <c r="AC177"/>
  <c r="AB177"/>
  <c r="AA177"/>
  <c r="Z177"/>
  <c r="Y177"/>
  <c r="X177"/>
  <c r="W177"/>
  <c r="V177"/>
  <c r="U177"/>
  <c r="T177"/>
  <c r="S177"/>
  <c r="Q177"/>
  <c r="P177"/>
  <c r="M177"/>
  <c r="L177"/>
  <c r="K177"/>
  <c r="J177"/>
  <c r="H177"/>
  <c r="G177"/>
  <c r="R176"/>
  <c r="AD176" s="1"/>
  <c r="I176"/>
  <c r="R175"/>
  <c r="AD175" s="1"/>
  <c r="O174"/>
  <c r="AC174"/>
  <c r="AB174"/>
  <c r="AA174"/>
  <c r="Z174"/>
  <c r="Y174"/>
  <c r="X174"/>
  <c r="W174"/>
  <c r="V174"/>
  <c r="U174"/>
  <c r="T174"/>
  <c r="S174"/>
  <c r="Q174"/>
  <c r="P174"/>
  <c r="N174"/>
  <c r="M174"/>
  <c r="L174"/>
  <c r="K174"/>
  <c r="J174"/>
  <c r="H174"/>
  <c r="G174"/>
  <c r="R173"/>
  <c r="AD173" s="1"/>
  <c r="N173"/>
  <c r="N525" s="1"/>
  <c r="R172"/>
  <c r="AD172" s="1"/>
  <c r="O171"/>
  <c r="N172"/>
  <c r="M172"/>
  <c r="M171" s="1"/>
  <c r="AC171"/>
  <c r="AB171"/>
  <c r="AA171"/>
  <c r="Z171"/>
  <c r="Y171"/>
  <c r="X171"/>
  <c r="W171"/>
  <c r="V171"/>
  <c r="U171"/>
  <c r="T171"/>
  <c r="S171"/>
  <c r="Q171"/>
  <c r="P171"/>
  <c r="L171"/>
  <c r="K171"/>
  <c r="J171"/>
  <c r="H171"/>
  <c r="G171"/>
  <c r="R170"/>
  <c r="AD170" s="1"/>
  <c r="I170"/>
  <c r="R169"/>
  <c r="AD169" s="1"/>
  <c r="I169"/>
  <c r="AC168"/>
  <c r="AB168"/>
  <c r="AA168"/>
  <c r="Z168"/>
  <c r="Y168"/>
  <c r="X168"/>
  <c r="W168"/>
  <c r="V168"/>
  <c r="U168"/>
  <c r="T168"/>
  <c r="S168"/>
  <c r="Q168"/>
  <c r="P168"/>
  <c r="O168"/>
  <c r="N168"/>
  <c r="M168"/>
  <c r="L168"/>
  <c r="K168"/>
  <c r="J168"/>
  <c r="H168"/>
  <c r="G168"/>
  <c r="R167"/>
  <c r="AD167" s="1"/>
  <c r="I167"/>
  <c r="R166"/>
  <c r="AD166" s="1"/>
  <c r="I166"/>
  <c r="AC165"/>
  <c r="AB165"/>
  <c r="AA165"/>
  <c r="Z165"/>
  <c r="Y165"/>
  <c r="X165"/>
  <c r="W165"/>
  <c r="V165"/>
  <c r="U165"/>
  <c r="T165"/>
  <c r="S165"/>
  <c r="Q165"/>
  <c r="P165"/>
  <c r="O165"/>
  <c r="N165"/>
  <c r="M165"/>
  <c r="L165"/>
  <c r="K165"/>
  <c r="J165"/>
  <c r="H165"/>
  <c r="G165"/>
  <c r="R162"/>
  <c r="AD162" s="1"/>
  <c r="I162"/>
  <c r="R161"/>
  <c r="I161"/>
  <c r="R160"/>
  <c r="AD160" s="1"/>
  <c r="M160"/>
  <c r="I160" s="1"/>
  <c r="AC159"/>
  <c r="AB159"/>
  <c r="AA159"/>
  <c r="Z159"/>
  <c r="Y159"/>
  <c r="X159"/>
  <c r="W159"/>
  <c r="V159"/>
  <c r="U159"/>
  <c r="T159"/>
  <c r="S159"/>
  <c r="Q159"/>
  <c r="P159"/>
  <c r="O159"/>
  <c r="N159"/>
  <c r="L159"/>
  <c r="K159"/>
  <c r="J159"/>
  <c r="R158"/>
  <c r="AD158" s="1"/>
  <c r="I158"/>
  <c r="R157"/>
  <c r="AD157" s="1"/>
  <c r="I157"/>
  <c r="R156"/>
  <c r="AD156" s="1"/>
  <c r="I156"/>
  <c r="R155"/>
  <c r="AD155" s="1"/>
  <c r="M155"/>
  <c r="I155" s="1"/>
  <c r="AC154"/>
  <c r="AB154"/>
  <c r="AA154"/>
  <c r="Z154"/>
  <c r="Y154"/>
  <c r="X154"/>
  <c r="W154"/>
  <c r="V154"/>
  <c r="U154"/>
  <c r="T154"/>
  <c r="S154"/>
  <c r="Q154"/>
  <c r="P154"/>
  <c r="O154"/>
  <c r="N154"/>
  <c r="L154"/>
  <c r="K154"/>
  <c r="J154"/>
  <c r="R153"/>
  <c r="AD153" s="1"/>
  <c r="I153"/>
  <c r="R152"/>
  <c r="AD152" s="1"/>
  <c r="N152"/>
  <c r="M152"/>
  <c r="M151" s="1"/>
  <c r="AC151"/>
  <c r="AB151"/>
  <c r="AA151"/>
  <c r="Z151"/>
  <c r="Y151"/>
  <c r="X151"/>
  <c r="W151"/>
  <c r="V151"/>
  <c r="U151"/>
  <c r="T151"/>
  <c r="S151"/>
  <c r="Q151"/>
  <c r="P151"/>
  <c r="O151"/>
  <c r="N151"/>
  <c r="L151"/>
  <c r="K151"/>
  <c r="J151"/>
  <c r="H151"/>
  <c r="G151"/>
  <c r="R150"/>
  <c r="AD150" s="1"/>
  <c r="I150"/>
  <c r="R149"/>
  <c r="AD149" s="1"/>
  <c r="M149"/>
  <c r="I149" s="1"/>
  <c r="AC148"/>
  <c r="AB148"/>
  <c r="AA148"/>
  <c r="Z148"/>
  <c r="Y148"/>
  <c r="X148"/>
  <c r="W148"/>
  <c r="V148"/>
  <c r="U148"/>
  <c r="T148"/>
  <c r="S148"/>
  <c r="Q148"/>
  <c r="P148"/>
  <c r="O148"/>
  <c r="N148"/>
  <c r="L148"/>
  <c r="K148"/>
  <c r="J148"/>
  <c r="H148"/>
  <c r="G148"/>
  <c r="R147"/>
  <c r="AD147" s="1"/>
  <c r="I147"/>
  <c r="R146"/>
  <c r="AD146" s="1"/>
  <c r="I146"/>
  <c r="AC145"/>
  <c r="AB145"/>
  <c r="AA145"/>
  <c r="Z145"/>
  <c r="Y145"/>
  <c r="X145"/>
  <c r="W145"/>
  <c r="V145"/>
  <c r="U145"/>
  <c r="T145"/>
  <c r="S145"/>
  <c r="Q145"/>
  <c r="P145"/>
  <c r="O145"/>
  <c r="N145"/>
  <c r="M145"/>
  <c r="L145"/>
  <c r="K145"/>
  <c r="J145"/>
  <c r="H145"/>
  <c r="G145"/>
  <c r="R144"/>
  <c r="AD144" s="1"/>
  <c r="I144"/>
  <c r="R143"/>
  <c r="AD143" s="1"/>
  <c r="I143"/>
  <c r="AC142"/>
  <c r="AB142"/>
  <c r="AA142"/>
  <c r="Z142"/>
  <c r="Y142"/>
  <c r="X142"/>
  <c r="W142"/>
  <c r="V142"/>
  <c r="U142"/>
  <c r="T142"/>
  <c r="S142"/>
  <c r="Q142"/>
  <c r="P142"/>
  <c r="O142"/>
  <c r="N142"/>
  <c r="M142"/>
  <c r="L142"/>
  <c r="K142"/>
  <c r="J142"/>
  <c r="H142"/>
  <c r="G142"/>
  <c r="R138"/>
  <c r="AD138" s="1"/>
  <c r="I138"/>
  <c r="R137"/>
  <c r="M137"/>
  <c r="AC136"/>
  <c r="AB136"/>
  <c r="AA136"/>
  <c r="Z136"/>
  <c r="Y136"/>
  <c r="X136"/>
  <c r="W136"/>
  <c r="V136"/>
  <c r="U136"/>
  <c r="T136"/>
  <c r="S136"/>
  <c r="Q136"/>
  <c r="P136"/>
  <c r="O136"/>
  <c r="N136"/>
  <c r="L136"/>
  <c r="K136"/>
  <c r="J136"/>
  <c r="H136"/>
  <c r="G136"/>
  <c r="AD135"/>
  <c r="R133"/>
  <c r="AD133" s="1"/>
  <c r="I133"/>
  <c r="N132"/>
  <c r="M132"/>
  <c r="L132"/>
  <c r="K132"/>
  <c r="J132"/>
  <c r="R131"/>
  <c r="AD131" s="1"/>
  <c r="I131"/>
  <c r="R130"/>
  <c r="AD130" s="1"/>
  <c r="I130"/>
  <c r="AC129"/>
  <c r="AB129"/>
  <c r="AA129"/>
  <c r="Z129"/>
  <c r="Y129"/>
  <c r="X129"/>
  <c r="W129"/>
  <c r="V129"/>
  <c r="U129"/>
  <c r="T129"/>
  <c r="S129"/>
  <c r="Q129"/>
  <c r="O129"/>
  <c r="N129"/>
  <c r="M129"/>
  <c r="L129"/>
  <c r="K129"/>
  <c r="J129"/>
  <c r="H129"/>
  <c r="G129"/>
  <c r="R128"/>
  <c r="AD128" s="1"/>
  <c r="I128"/>
  <c r="R127"/>
  <c r="AD127" s="1"/>
  <c r="I127"/>
  <c r="R126"/>
  <c r="AD126" s="1"/>
  <c r="I126"/>
  <c r="AC125"/>
  <c r="AB125"/>
  <c r="AA125"/>
  <c r="Z125"/>
  <c r="Y125"/>
  <c r="X125"/>
  <c r="W125"/>
  <c r="V125"/>
  <c r="U125"/>
  <c r="T125"/>
  <c r="S125"/>
  <c r="Q125"/>
  <c r="P125"/>
  <c r="O125"/>
  <c r="N125"/>
  <c r="R124"/>
  <c r="AD124" s="1"/>
  <c r="I124"/>
  <c r="R123"/>
  <c r="AD123" s="1"/>
  <c r="I123"/>
  <c r="R122"/>
  <c r="AD122" s="1"/>
  <c r="I122"/>
  <c r="AC121"/>
  <c r="AB121"/>
  <c r="AA121"/>
  <c r="Z121"/>
  <c r="Y121"/>
  <c r="X121"/>
  <c r="W121"/>
  <c r="V121"/>
  <c r="U121"/>
  <c r="T121"/>
  <c r="S121"/>
  <c r="Q121"/>
  <c r="P121"/>
  <c r="O121"/>
  <c r="N121"/>
  <c r="M121"/>
  <c r="R120"/>
  <c r="AD120" s="1"/>
  <c r="M120"/>
  <c r="M522" s="1"/>
  <c r="R119"/>
  <c r="AD119" s="1"/>
  <c r="I119"/>
  <c r="R118"/>
  <c r="AD118" s="1"/>
  <c r="I118"/>
  <c r="AC117"/>
  <c r="AB117"/>
  <c r="AA117"/>
  <c r="Z117"/>
  <c r="Y117"/>
  <c r="X117"/>
  <c r="W117"/>
  <c r="V117"/>
  <c r="U117"/>
  <c r="T117"/>
  <c r="S117"/>
  <c r="Q117"/>
  <c r="P117"/>
  <c r="O117"/>
  <c r="N117"/>
  <c r="M117"/>
  <c r="R116"/>
  <c r="I116"/>
  <c r="R115"/>
  <c r="AD115" s="1"/>
  <c r="I115"/>
  <c r="AC114"/>
  <c r="AB114"/>
  <c r="AA114"/>
  <c r="Z114"/>
  <c r="Y114"/>
  <c r="X114"/>
  <c r="W114"/>
  <c r="V114"/>
  <c r="U114"/>
  <c r="T114"/>
  <c r="S114"/>
  <c r="Q114"/>
  <c r="P114"/>
  <c r="O114"/>
  <c r="N114"/>
  <c r="M114"/>
  <c r="L114"/>
  <c r="K114"/>
  <c r="J114"/>
  <c r="H114"/>
  <c r="G114"/>
  <c r="R113"/>
  <c r="AD113" s="1"/>
  <c r="I113"/>
  <c r="AC112"/>
  <c r="AB112"/>
  <c r="AA112"/>
  <c r="Z112"/>
  <c r="Y112"/>
  <c r="X112"/>
  <c r="W112"/>
  <c r="V112"/>
  <c r="U112"/>
  <c r="T112"/>
  <c r="S112"/>
  <c r="Q112"/>
  <c r="P112"/>
  <c r="O112"/>
  <c r="N112"/>
  <c r="M112"/>
  <c r="L112"/>
  <c r="K112"/>
  <c r="J112"/>
  <c r="H112"/>
  <c r="G112"/>
  <c r="R110"/>
  <c r="AD110" s="1"/>
  <c r="I110"/>
  <c r="R109"/>
  <c r="AD109" s="1"/>
  <c r="I109"/>
  <c r="N108"/>
  <c r="M108"/>
  <c r="L108"/>
  <c r="K108"/>
  <c r="J108"/>
  <c r="H108"/>
  <c r="G108"/>
  <c r="S106"/>
  <c r="S519" s="1"/>
  <c r="O106"/>
  <c r="O519" s="1"/>
  <c r="N106"/>
  <c r="N519" s="1"/>
  <c r="R105"/>
  <c r="AD105" s="1"/>
  <c r="I105"/>
  <c r="M104"/>
  <c r="L104"/>
  <c r="K104"/>
  <c r="J104"/>
  <c r="H104"/>
  <c r="G104"/>
  <c r="R103"/>
  <c r="AD103" s="1"/>
  <c r="I103"/>
  <c r="R102"/>
  <c r="AD102" s="1"/>
  <c r="I102"/>
  <c r="AC101"/>
  <c r="AB101"/>
  <c r="AA101"/>
  <c r="Z101"/>
  <c r="Y101"/>
  <c r="X101"/>
  <c r="W101"/>
  <c r="V101"/>
  <c r="U101"/>
  <c r="T101"/>
  <c r="S101"/>
  <c r="Q101"/>
  <c r="P101"/>
  <c r="O101"/>
  <c r="N101"/>
  <c r="M101"/>
  <c r="L101"/>
  <c r="K101"/>
  <c r="J101"/>
  <c r="H101"/>
  <c r="G101"/>
  <c r="R100"/>
  <c r="AD100" s="1"/>
  <c r="M100"/>
  <c r="I100" s="1"/>
  <c r="R99"/>
  <c r="AD99" s="1"/>
  <c r="O99"/>
  <c r="O98" s="1"/>
  <c r="M99"/>
  <c r="AC98"/>
  <c r="AB98"/>
  <c r="AA98"/>
  <c r="Z98"/>
  <c r="Y98"/>
  <c r="X98"/>
  <c r="W98"/>
  <c r="V98"/>
  <c r="U98"/>
  <c r="T98"/>
  <c r="S98"/>
  <c r="Q98"/>
  <c r="P98"/>
  <c r="N98"/>
  <c r="L98"/>
  <c r="K98"/>
  <c r="J98"/>
  <c r="H98"/>
  <c r="G98"/>
  <c r="R96"/>
  <c r="AD96" s="1"/>
  <c r="I96"/>
  <c r="R95"/>
  <c r="AD95" s="1"/>
  <c r="I95"/>
  <c r="N94"/>
  <c r="M94"/>
  <c r="L94"/>
  <c r="K94"/>
  <c r="J94"/>
  <c r="H94"/>
  <c r="G94"/>
  <c r="M92"/>
  <c r="I92" s="1"/>
  <c r="M91"/>
  <c r="N90"/>
  <c r="L90"/>
  <c r="K90"/>
  <c r="J90"/>
  <c r="H90"/>
  <c r="G90"/>
  <c r="R89"/>
  <c r="AD89" s="1"/>
  <c r="I89"/>
  <c r="R88"/>
  <c r="AD88" s="1"/>
  <c r="I88"/>
  <c r="AC87"/>
  <c r="AB87"/>
  <c r="AA87"/>
  <c r="Z87"/>
  <c r="Y87"/>
  <c r="X87"/>
  <c r="W87"/>
  <c r="V87"/>
  <c r="U87"/>
  <c r="T87"/>
  <c r="S87"/>
  <c r="Q87"/>
  <c r="P87"/>
  <c r="O87"/>
  <c r="N87"/>
  <c r="M87"/>
  <c r="L87"/>
  <c r="K87"/>
  <c r="J87"/>
  <c r="H87"/>
  <c r="G87"/>
  <c r="R86"/>
  <c r="I86"/>
  <c r="AC85"/>
  <c r="AB85"/>
  <c r="AA85"/>
  <c r="Z85"/>
  <c r="Y85"/>
  <c r="X85"/>
  <c r="W85"/>
  <c r="V85"/>
  <c r="U85"/>
  <c r="T85"/>
  <c r="S85"/>
  <c r="Q85"/>
  <c r="P85"/>
  <c r="O85"/>
  <c r="N85"/>
  <c r="M85"/>
  <c r="L85"/>
  <c r="K85"/>
  <c r="J85"/>
  <c r="H85"/>
  <c r="G85"/>
  <c r="R84"/>
  <c r="AD84" s="1"/>
  <c r="I84"/>
  <c r="R83"/>
  <c r="R520" s="1"/>
  <c r="I83"/>
  <c r="I520" s="1"/>
  <c r="R82"/>
  <c r="AD82" s="1"/>
  <c r="M82"/>
  <c r="I82" s="1"/>
  <c r="AC81"/>
  <c r="AB81"/>
  <c r="AA81"/>
  <c r="Z81"/>
  <c r="Y81"/>
  <c r="X81"/>
  <c r="W81"/>
  <c r="V81"/>
  <c r="U81"/>
  <c r="T81"/>
  <c r="S81"/>
  <c r="Q81"/>
  <c r="P81"/>
  <c r="O81"/>
  <c r="N81"/>
  <c r="L81"/>
  <c r="K81"/>
  <c r="J81"/>
  <c r="R80"/>
  <c r="AD80" s="1"/>
  <c r="I80"/>
  <c r="AC79"/>
  <c r="AB79"/>
  <c r="AA79"/>
  <c r="Z79"/>
  <c r="Y79"/>
  <c r="X79"/>
  <c r="W79"/>
  <c r="V79"/>
  <c r="U79"/>
  <c r="T79"/>
  <c r="S79"/>
  <c r="Q79"/>
  <c r="P79"/>
  <c r="O79"/>
  <c r="N79"/>
  <c r="M79"/>
  <c r="L79"/>
  <c r="K79"/>
  <c r="J79"/>
  <c r="H79"/>
  <c r="G79"/>
  <c r="R78"/>
  <c r="AD78" s="1"/>
  <c r="I78"/>
  <c r="R77"/>
  <c r="AD77" s="1"/>
  <c r="I77"/>
  <c r="R76"/>
  <c r="AD76" s="1"/>
  <c r="M76"/>
  <c r="I76" s="1"/>
  <c r="AC75"/>
  <c r="AB75"/>
  <c r="AA75"/>
  <c r="Z75"/>
  <c r="Y75"/>
  <c r="X75"/>
  <c r="W75"/>
  <c r="V75"/>
  <c r="U75"/>
  <c r="T75"/>
  <c r="S75"/>
  <c r="Q75"/>
  <c r="P75"/>
  <c r="O75"/>
  <c r="N75"/>
  <c r="R74"/>
  <c r="AD74" s="1"/>
  <c r="I74"/>
  <c r="R73"/>
  <c r="AD73" s="1"/>
  <c r="I73"/>
  <c r="R72"/>
  <c r="AD72" s="1"/>
  <c r="M72"/>
  <c r="I72" s="1"/>
  <c r="AC71"/>
  <c r="AB71"/>
  <c r="AA71"/>
  <c r="Z71"/>
  <c r="Y71"/>
  <c r="X71"/>
  <c r="W71"/>
  <c r="V71"/>
  <c r="U71"/>
  <c r="T71"/>
  <c r="S71"/>
  <c r="Q71"/>
  <c r="P71"/>
  <c r="O71"/>
  <c r="N71"/>
  <c r="R70"/>
  <c r="AD70" s="1"/>
  <c r="I70"/>
  <c r="R69"/>
  <c r="AD69" s="1"/>
  <c r="I69"/>
  <c r="R68"/>
  <c r="AD68" s="1"/>
  <c r="I68"/>
  <c r="AC67"/>
  <c r="AB67"/>
  <c r="AA67"/>
  <c r="Z67"/>
  <c r="Y67"/>
  <c r="X67"/>
  <c r="W67"/>
  <c r="V67"/>
  <c r="U67"/>
  <c r="T67"/>
  <c r="S67"/>
  <c r="I67"/>
  <c r="R66"/>
  <c r="AD66" s="1"/>
  <c r="I66"/>
  <c r="AC65"/>
  <c r="AB65"/>
  <c r="AA65"/>
  <c r="Z65"/>
  <c r="Y65"/>
  <c r="X65"/>
  <c r="W65"/>
  <c r="V65"/>
  <c r="U65"/>
  <c r="T65"/>
  <c r="S65"/>
  <c r="Q65"/>
  <c r="P65"/>
  <c r="O65"/>
  <c r="N65"/>
  <c r="M65"/>
  <c r="L65"/>
  <c r="K65"/>
  <c r="J65"/>
  <c r="H65"/>
  <c r="G65"/>
  <c r="R64"/>
  <c r="AD64" s="1"/>
  <c r="I64"/>
  <c r="AC63"/>
  <c r="AB63"/>
  <c r="AA63"/>
  <c r="Z63"/>
  <c r="Y63"/>
  <c r="X63"/>
  <c r="W63"/>
  <c r="V63"/>
  <c r="U63"/>
  <c r="T63"/>
  <c r="S63"/>
  <c r="Q63"/>
  <c r="P63"/>
  <c r="O63"/>
  <c r="N63"/>
  <c r="M63"/>
  <c r="L63"/>
  <c r="K63"/>
  <c r="J63"/>
  <c r="H63"/>
  <c r="G63"/>
  <c r="R62"/>
  <c r="AD62" s="1"/>
  <c r="I62"/>
  <c r="R61"/>
  <c r="AD61" s="1"/>
  <c r="I61"/>
  <c r="AC60"/>
  <c r="AB60"/>
  <c r="AA60"/>
  <c r="Z60"/>
  <c r="Y60"/>
  <c r="X60"/>
  <c r="W60"/>
  <c r="V60"/>
  <c r="U60"/>
  <c r="T60"/>
  <c r="S60"/>
  <c r="Q60"/>
  <c r="P60"/>
  <c r="O60"/>
  <c r="N60"/>
  <c r="M60"/>
  <c r="L60"/>
  <c r="K60"/>
  <c r="J60"/>
  <c r="H60"/>
  <c r="G60"/>
  <c r="R59"/>
  <c r="AD59" s="1"/>
  <c r="I59"/>
  <c r="R58"/>
  <c r="AD58" s="1"/>
  <c r="I58"/>
  <c r="AC57"/>
  <c r="AB57"/>
  <c r="AA57"/>
  <c r="Z57"/>
  <c r="Y57"/>
  <c r="X57"/>
  <c r="W57"/>
  <c r="V57"/>
  <c r="U57"/>
  <c r="T57"/>
  <c r="S57"/>
  <c r="Q57"/>
  <c r="P57"/>
  <c r="O57"/>
  <c r="N57"/>
  <c r="M57"/>
  <c r="L57"/>
  <c r="K57"/>
  <c r="J57"/>
  <c r="H57"/>
  <c r="G57"/>
  <c r="R55"/>
  <c r="AD55" s="1"/>
  <c r="I55"/>
  <c r="N54"/>
  <c r="N518" s="1"/>
  <c r="M54"/>
  <c r="AC53"/>
  <c r="AB53"/>
  <c r="AA53"/>
  <c r="Z53"/>
  <c r="Y53"/>
  <c r="L53"/>
  <c r="K53"/>
  <c r="J53"/>
  <c r="H53"/>
  <c r="G53"/>
  <c r="R52"/>
  <c r="AD52" s="1"/>
  <c r="I52"/>
  <c r="R51"/>
  <c r="AD51" s="1"/>
  <c r="I51"/>
  <c r="AC50"/>
  <c r="AB50"/>
  <c r="AA50"/>
  <c r="Z50"/>
  <c r="Y50"/>
  <c r="X50"/>
  <c r="W50"/>
  <c r="V50"/>
  <c r="U50"/>
  <c r="T50"/>
  <c r="S50"/>
  <c r="Q50"/>
  <c r="P50"/>
  <c r="O50"/>
  <c r="N50"/>
  <c r="M50"/>
  <c r="L50"/>
  <c r="K50"/>
  <c r="J50"/>
  <c r="H50"/>
  <c r="G50"/>
  <c r="R49"/>
  <c r="AD49" s="1"/>
  <c r="I49"/>
  <c r="R48"/>
  <c r="AD48" s="1"/>
  <c r="I48"/>
  <c r="AC47"/>
  <c r="AB47"/>
  <c r="AA47"/>
  <c r="Z47"/>
  <c r="Y47"/>
  <c r="X47"/>
  <c r="W47"/>
  <c r="V47"/>
  <c r="U47"/>
  <c r="T47"/>
  <c r="S47"/>
  <c r="Q47"/>
  <c r="P47"/>
  <c r="O47"/>
  <c r="N47"/>
  <c r="M47"/>
  <c r="L47"/>
  <c r="K47"/>
  <c r="J47"/>
  <c r="H47"/>
  <c r="G47"/>
  <c r="R46"/>
  <c r="AD46" s="1"/>
  <c r="I46"/>
  <c r="R45"/>
  <c r="AD45" s="1"/>
  <c r="M45"/>
  <c r="M44" s="1"/>
  <c r="AC44"/>
  <c r="AB44"/>
  <c r="AA44"/>
  <c r="Z44"/>
  <c r="Y44"/>
  <c r="X44"/>
  <c r="W44"/>
  <c r="V44"/>
  <c r="U44"/>
  <c r="T44"/>
  <c r="S44"/>
  <c r="Q44"/>
  <c r="P44"/>
  <c r="O44"/>
  <c r="N44"/>
  <c r="L44"/>
  <c r="K44"/>
  <c r="J44"/>
  <c r="H44"/>
  <c r="G44"/>
  <c r="R43"/>
  <c r="AD43" s="1"/>
  <c r="I43"/>
  <c r="R42"/>
  <c r="AD42" s="1"/>
  <c r="I42"/>
  <c r="AC41"/>
  <c r="AB41"/>
  <c r="AA41"/>
  <c r="Z41"/>
  <c r="Y41"/>
  <c r="X41"/>
  <c r="W41"/>
  <c r="V41"/>
  <c r="U41"/>
  <c r="T41"/>
  <c r="S41"/>
  <c r="Q41"/>
  <c r="P41"/>
  <c r="O41"/>
  <c r="N41"/>
  <c r="M41"/>
  <c r="L41"/>
  <c r="K41"/>
  <c r="J41"/>
  <c r="H41"/>
  <c r="G41"/>
  <c r="R40"/>
  <c r="AD40" s="1"/>
  <c r="I40"/>
  <c r="R39"/>
  <c r="AD39" s="1"/>
  <c r="M39"/>
  <c r="I39" s="1"/>
  <c r="AC38"/>
  <c r="AB38"/>
  <c r="AA38"/>
  <c r="Z38"/>
  <c r="Y38"/>
  <c r="X38"/>
  <c r="W38"/>
  <c r="V38"/>
  <c r="U38"/>
  <c r="T38"/>
  <c r="S38"/>
  <c r="Q38"/>
  <c r="P38"/>
  <c r="O38"/>
  <c r="N38"/>
  <c r="M38"/>
  <c r="L38"/>
  <c r="K38"/>
  <c r="J38"/>
  <c r="H38"/>
  <c r="G38"/>
  <c r="R37"/>
  <c r="AD37" s="1"/>
  <c r="I37"/>
  <c r="R36"/>
  <c r="AD36" s="1"/>
  <c r="I36"/>
  <c r="AC35"/>
  <c r="AB35"/>
  <c r="AA35"/>
  <c r="Z35"/>
  <c r="Y35"/>
  <c r="X35"/>
  <c r="W35"/>
  <c r="V35"/>
  <c r="U35"/>
  <c r="T35"/>
  <c r="S35"/>
  <c r="Q35"/>
  <c r="P35"/>
  <c r="O35"/>
  <c r="N35"/>
  <c r="M35"/>
  <c r="L35"/>
  <c r="K35"/>
  <c r="J35"/>
  <c r="H35"/>
  <c r="G35"/>
  <c r="R34"/>
  <c r="AD34" s="1"/>
  <c r="I34"/>
  <c r="R33"/>
  <c r="AD33" s="1"/>
  <c r="I33"/>
  <c r="AC32"/>
  <c r="AB32"/>
  <c r="AA32"/>
  <c r="Z32"/>
  <c r="Y32"/>
  <c r="X32"/>
  <c r="W32"/>
  <c r="V32"/>
  <c r="U32"/>
  <c r="T32"/>
  <c r="S32"/>
  <c r="Q32"/>
  <c r="P32"/>
  <c r="O32"/>
  <c r="N32"/>
  <c r="M32"/>
  <c r="L32"/>
  <c r="K32"/>
  <c r="J32"/>
  <c r="H32"/>
  <c r="G32"/>
  <c r="R31"/>
  <c r="AD31" s="1"/>
  <c r="I31"/>
  <c r="R30"/>
  <c r="AD30" s="1"/>
  <c r="I30"/>
  <c r="R29"/>
  <c r="AD29" s="1"/>
  <c r="I29"/>
  <c r="AC28"/>
  <c r="AB28"/>
  <c r="AA28"/>
  <c r="Z28"/>
  <c r="Y28"/>
  <c r="X28"/>
  <c r="W28"/>
  <c r="V28"/>
  <c r="U28"/>
  <c r="T28"/>
  <c r="S28"/>
  <c r="Q28"/>
  <c r="P28"/>
  <c r="O28"/>
  <c r="N28"/>
  <c r="M28"/>
  <c r="L28"/>
  <c r="K28"/>
  <c r="J28"/>
  <c r="R27"/>
  <c r="AD27" s="1"/>
  <c r="I27"/>
  <c r="R26"/>
  <c r="AD26" s="1"/>
  <c r="I26"/>
  <c r="AC25"/>
  <c r="AB25"/>
  <c r="AA25"/>
  <c r="Z25"/>
  <c r="Y25"/>
  <c r="X25"/>
  <c r="W25"/>
  <c r="V25"/>
  <c r="U25"/>
  <c r="T25"/>
  <c r="S25"/>
  <c r="Q25"/>
  <c r="P25"/>
  <c r="O25"/>
  <c r="N25"/>
  <c r="M25"/>
  <c r="L25"/>
  <c r="K25"/>
  <c r="J25"/>
  <c r="H25"/>
  <c r="G25"/>
  <c r="R24"/>
  <c r="AD24" s="1"/>
  <c r="I24"/>
  <c r="R23"/>
  <c r="AD23" s="1"/>
  <c r="I23"/>
  <c r="AC22"/>
  <c r="AB22"/>
  <c r="AA22"/>
  <c r="Z22"/>
  <c r="Y22"/>
  <c r="X22"/>
  <c r="W22"/>
  <c r="V22"/>
  <c r="U22"/>
  <c r="T22"/>
  <c r="S22"/>
  <c r="Q22"/>
  <c r="P22"/>
  <c r="O22"/>
  <c r="N22"/>
  <c r="M22"/>
  <c r="L22"/>
  <c r="K22"/>
  <c r="J22"/>
  <c r="H22"/>
  <c r="G22"/>
  <c r="R18"/>
  <c r="AD18" s="1"/>
  <c r="I18"/>
  <c r="R17"/>
  <c r="AD17" s="1"/>
  <c r="I17"/>
  <c r="R16"/>
  <c r="AD16" s="1"/>
  <c r="I16"/>
  <c r="AC15"/>
  <c r="AB15"/>
  <c r="AA15"/>
  <c r="Z15"/>
  <c r="Y15"/>
  <c r="X15"/>
  <c r="W15"/>
  <c r="V15"/>
  <c r="U15"/>
  <c r="T15"/>
  <c r="S15"/>
  <c r="Q15"/>
  <c r="P15"/>
  <c r="O15"/>
  <c r="N15"/>
  <c r="M15"/>
  <c r="L15"/>
  <c r="K15"/>
  <c r="J15"/>
  <c r="R14"/>
  <c r="AD14" s="1"/>
  <c r="I14"/>
  <c r="R13"/>
  <c r="AD13" s="1"/>
  <c r="I13"/>
  <c r="AC12"/>
  <c r="AB12"/>
  <c r="AA12"/>
  <c r="Z12"/>
  <c r="Y12"/>
  <c r="X12"/>
  <c r="W12"/>
  <c r="V12"/>
  <c r="U12"/>
  <c r="T12"/>
  <c r="S12"/>
  <c r="Q12"/>
  <c r="P12"/>
  <c r="O12"/>
  <c r="N12"/>
  <c r="M12"/>
  <c r="L12"/>
  <c r="K12"/>
  <c r="J12"/>
  <c r="H12"/>
  <c r="G12"/>
  <c r="R11"/>
  <c r="AD11" s="1"/>
  <c r="I11"/>
  <c r="AC10"/>
  <c r="AB10"/>
  <c r="AA10"/>
  <c r="Z10"/>
  <c r="Y10"/>
  <c r="X10"/>
  <c r="W10"/>
  <c r="V10"/>
  <c r="U10"/>
  <c r="T10"/>
  <c r="S10"/>
  <c r="Q10"/>
  <c r="P10"/>
  <c r="O10"/>
  <c r="N10"/>
  <c r="M10"/>
  <c r="L10"/>
  <c r="K10"/>
  <c r="J10"/>
  <c r="H10"/>
  <c r="G10"/>
  <c r="R9"/>
  <c r="AD9" s="1"/>
  <c r="I9"/>
  <c r="R8"/>
  <c r="AD8" s="1"/>
  <c r="I8"/>
  <c r="S7"/>
  <c r="O7"/>
  <c r="N7"/>
  <c r="M7"/>
  <c r="L7"/>
  <c r="K7"/>
  <c r="J7"/>
  <c r="H7"/>
  <c r="G7"/>
  <c r="I194"/>
  <c r="I173"/>
  <c r="O412"/>
  <c r="I281"/>
  <c r="N250"/>
  <c r="M367"/>
  <c r="P129"/>
  <c r="I202"/>
  <c r="O201"/>
  <c r="I175"/>
  <c r="I181"/>
  <c r="O180"/>
  <c r="P201"/>
  <c r="I295"/>
  <c r="I225"/>
  <c r="O386"/>
  <c r="I413"/>
  <c r="M148" l="1"/>
  <c r="N343"/>
  <c r="N208"/>
  <c r="I344"/>
  <c r="I207"/>
  <c r="I530" s="1"/>
  <c r="I529" s="1"/>
  <c r="M98"/>
  <c r="M569"/>
  <c r="M313"/>
  <c r="I313" s="1"/>
  <c r="I443"/>
  <c r="M406"/>
  <c r="M437"/>
  <c r="I437" s="1"/>
  <c r="I422"/>
  <c r="I54"/>
  <c r="N171"/>
  <c r="I171" s="1"/>
  <c r="M536"/>
  <c r="M537"/>
  <c r="M350"/>
  <c r="I376"/>
  <c r="F376" s="1"/>
  <c r="M90"/>
  <c r="M279"/>
  <c r="M300"/>
  <c r="M362"/>
  <c r="N568"/>
  <c r="I280"/>
  <c r="M71"/>
  <c r="I71" s="1"/>
  <c r="Q350"/>
  <c r="M206"/>
  <c r="N530"/>
  <c r="M548"/>
  <c r="M547" s="1"/>
  <c r="I120"/>
  <c r="F120" s="1"/>
  <c r="O294"/>
  <c r="I294" s="1"/>
  <c r="AD371"/>
  <c r="AD370" s="1"/>
  <c r="I178"/>
  <c r="F178" s="1"/>
  <c r="E177" s="1"/>
  <c r="I99"/>
  <c r="F99" s="1"/>
  <c r="E98" s="1"/>
  <c r="M53"/>
  <c r="AD351"/>
  <c r="M380"/>
  <c r="I380" s="1"/>
  <c r="AD259"/>
  <c r="R106"/>
  <c r="AD106" s="1"/>
  <c r="N372"/>
  <c r="I372" s="1"/>
  <c r="M397"/>
  <c r="I397" s="1"/>
  <c r="M423"/>
  <c r="I423" s="1"/>
  <c r="I251"/>
  <c r="F251" s="1"/>
  <c r="E250" s="1"/>
  <c r="I471"/>
  <c r="F471" s="1"/>
  <c r="E470" s="1"/>
  <c r="I45"/>
  <c r="M274"/>
  <c r="M232"/>
  <c r="M518"/>
  <c r="I91"/>
  <c r="M580"/>
  <c r="M579" s="1"/>
  <c r="I302"/>
  <c r="I152"/>
  <c r="F152" s="1"/>
  <c r="E151" s="1"/>
  <c r="M374"/>
  <c r="I374" s="1"/>
  <c r="M473"/>
  <c r="M549"/>
  <c r="I106"/>
  <c r="I519" s="1"/>
  <c r="M386"/>
  <c r="I386" s="1"/>
  <c r="N581"/>
  <c r="I172"/>
  <c r="N104"/>
  <c r="I222"/>
  <c r="F222" s="1"/>
  <c r="P294"/>
  <c r="N470"/>
  <c r="M250"/>
  <c r="I250" s="1"/>
  <c r="M75"/>
  <c r="I75" s="1"/>
  <c r="M568"/>
  <c r="M567" s="1"/>
  <c r="I191"/>
  <c r="I525" s="1"/>
  <c r="N524"/>
  <c r="I486"/>
  <c r="I586" s="1"/>
  <c r="M586"/>
  <c r="M585" s="1"/>
  <c r="M560"/>
  <c r="I368"/>
  <c r="I566" s="1"/>
  <c r="I565" s="1"/>
  <c r="M276"/>
  <c r="I276" s="1"/>
  <c r="M519"/>
  <c r="M524"/>
  <c r="M574"/>
  <c r="R524"/>
  <c r="I574"/>
  <c r="R574"/>
  <c r="F256"/>
  <c r="E255" s="1"/>
  <c r="AD484"/>
  <c r="F484" s="1"/>
  <c r="R586"/>
  <c r="G585"/>
  <c r="L585"/>
  <c r="S541"/>
  <c r="T559"/>
  <c r="X559"/>
  <c r="AB559"/>
  <c r="AD255"/>
  <c r="F388"/>
  <c r="V547"/>
  <c r="W541"/>
  <c r="AA541"/>
  <c r="AB579"/>
  <c r="X579"/>
  <c r="T579"/>
  <c r="Z567"/>
  <c r="V567"/>
  <c r="Q567"/>
  <c r="AB529"/>
  <c r="X529"/>
  <c r="T529"/>
  <c r="N547"/>
  <c r="N559"/>
  <c r="G567"/>
  <c r="L567"/>
  <c r="K579"/>
  <c r="AD261"/>
  <c r="AD116"/>
  <c r="AD522" s="1"/>
  <c r="R522"/>
  <c r="W559"/>
  <c r="P535"/>
  <c r="F141"/>
  <c r="Q547"/>
  <c r="O567"/>
  <c r="AD212"/>
  <c r="AD534" s="1"/>
  <c r="R38"/>
  <c r="AD38" s="1"/>
  <c r="F414"/>
  <c r="O541"/>
  <c r="AD391"/>
  <c r="AD574" s="1"/>
  <c r="U559"/>
  <c r="AA573"/>
  <c r="R186"/>
  <c r="AD186" s="1"/>
  <c r="O559"/>
  <c r="AA567"/>
  <c r="W567"/>
  <c r="S567"/>
  <c r="Z529"/>
  <c r="O585"/>
  <c r="F361"/>
  <c r="R588"/>
  <c r="F407"/>
  <c r="E406" s="1"/>
  <c r="F24"/>
  <c r="F30"/>
  <c r="F42"/>
  <c r="E41" s="1"/>
  <c r="F52"/>
  <c r="F59"/>
  <c r="F78"/>
  <c r="F184"/>
  <c r="E183" s="1"/>
  <c r="F190"/>
  <c r="E189" s="1"/>
  <c r="F410"/>
  <c r="E409" s="1"/>
  <c r="F429"/>
  <c r="F454"/>
  <c r="F462"/>
  <c r="F461" s="1"/>
  <c r="V535"/>
  <c r="F29"/>
  <c r="E28" s="1"/>
  <c r="F51"/>
  <c r="E50" s="1"/>
  <c r="F185"/>
  <c r="I257"/>
  <c r="Y541"/>
  <c r="P541"/>
  <c r="AD506"/>
  <c r="AD589" s="1"/>
  <c r="AD313"/>
  <c r="AD359"/>
  <c r="R394"/>
  <c r="AD394" s="1"/>
  <c r="I497"/>
  <c r="X514"/>
  <c r="H514"/>
  <c r="L529"/>
  <c r="J535"/>
  <c r="AC541"/>
  <c r="U541"/>
  <c r="R566"/>
  <c r="R565" s="1"/>
  <c r="Y573"/>
  <c r="AD257"/>
  <c r="X512"/>
  <c r="AA523"/>
  <c r="I117"/>
  <c r="F236"/>
  <c r="E235" s="1"/>
  <c r="F243"/>
  <c r="AD542"/>
  <c r="F272"/>
  <c r="E271" s="1"/>
  <c r="F286"/>
  <c r="E285" s="1"/>
  <c r="F323"/>
  <c r="E322" s="1"/>
  <c r="F346"/>
  <c r="F345" s="1"/>
  <c r="F419"/>
  <c r="E418" s="1"/>
  <c r="F477"/>
  <c r="E476" s="1"/>
  <c r="Z515"/>
  <c r="J529"/>
  <c r="Z535"/>
  <c r="G541"/>
  <c r="L541"/>
  <c r="J559"/>
  <c r="F188"/>
  <c r="R527"/>
  <c r="I470"/>
  <c r="F284"/>
  <c r="F289"/>
  <c r="E288" s="1"/>
  <c r="I322"/>
  <c r="F326"/>
  <c r="E325" s="1"/>
  <c r="I394"/>
  <c r="F417"/>
  <c r="I418"/>
  <c r="I588"/>
  <c r="I514" s="1"/>
  <c r="F496"/>
  <c r="F494" s="1"/>
  <c r="AD587"/>
  <c r="O514"/>
  <c r="K529"/>
  <c r="H535"/>
  <c r="L559"/>
  <c r="F105"/>
  <c r="E104" s="1"/>
  <c r="F110"/>
  <c r="R114"/>
  <c r="AD114" s="1"/>
  <c r="F119"/>
  <c r="F128"/>
  <c r="F157"/>
  <c r="F204"/>
  <c r="E203" s="1"/>
  <c r="R213"/>
  <c r="AD213" s="1"/>
  <c r="F443"/>
  <c r="E442" s="1"/>
  <c r="Y567"/>
  <c r="U567"/>
  <c r="AC547"/>
  <c r="U547"/>
  <c r="W529"/>
  <c r="Y516"/>
  <c r="V514"/>
  <c r="AC585"/>
  <c r="L535"/>
  <c r="G535"/>
  <c r="P559"/>
  <c r="V516"/>
  <c r="T585"/>
  <c r="R521"/>
  <c r="AD104"/>
  <c r="AD229"/>
  <c r="AD540" s="1"/>
  <c r="R25"/>
  <c r="AD25" s="1"/>
  <c r="I60"/>
  <c r="R60"/>
  <c r="AD60" s="1"/>
  <c r="I65"/>
  <c r="F16"/>
  <c r="E15" s="1"/>
  <c r="F18"/>
  <c r="F26"/>
  <c r="E25" s="1"/>
  <c r="F127"/>
  <c r="F147"/>
  <c r="F277"/>
  <c r="E276" s="1"/>
  <c r="F342"/>
  <c r="F341" s="1"/>
  <c r="F456"/>
  <c r="E455" s="1"/>
  <c r="F464"/>
  <c r="E463" s="1"/>
  <c r="F481"/>
  <c r="F480" s="1"/>
  <c r="U514"/>
  <c r="AC514"/>
  <c r="J541"/>
  <c r="N541"/>
  <c r="Q515"/>
  <c r="W513"/>
  <c r="K523"/>
  <c r="AC513"/>
  <c r="Y523"/>
  <c r="Q579"/>
  <c r="Z559"/>
  <c r="Y514"/>
  <c r="P514"/>
  <c r="X585"/>
  <c r="AB573"/>
  <c r="O573"/>
  <c r="K535"/>
  <c r="J513"/>
  <c r="X523"/>
  <c r="R151"/>
  <c r="AD151" s="1"/>
  <c r="I316"/>
  <c r="R339"/>
  <c r="AD339" s="1"/>
  <c r="I431"/>
  <c r="I463"/>
  <c r="H559"/>
  <c r="W573"/>
  <c r="G579"/>
  <c r="F107"/>
  <c r="Y535"/>
  <c r="R562"/>
  <c r="F181"/>
  <c r="E180" s="1"/>
  <c r="F39"/>
  <c r="E38" s="1"/>
  <c r="F80"/>
  <c r="F79" s="1"/>
  <c r="F82"/>
  <c r="E81" s="1"/>
  <c r="F198"/>
  <c r="E197" s="1"/>
  <c r="I218"/>
  <c r="F308"/>
  <c r="R316"/>
  <c r="AD316" s="1"/>
  <c r="F318"/>
  <c r="I328"/>
  <c r="F330"/>
  <c r="I350"/>
  <c r="AD560"/>
  <c r="I353"/>
  <c r="F363"/>
  <c r="F362" s="1"/>
  <c r="R380"/>
  <c r="AD380" s="1"/>
  <c r="R406"/>
  <c r="AD406" s="1"/>
  <c r="I452"/>
  <c r="R452"/>
  <c r="AD452" s="1"/>
  <c r="R467"/>
  <c r="AD467" s="1"/>
  <c r="F474"/>
  <c r="E473" s="1"/>
  <c r="R476"/>
  <c r="AD476" s="1"/>
  <c r="I480"/>
  <c r="AD480"/>
  <c r="I483"/>
  <c r="J514"/>
  <c r="N514"/>
  <c r="S514"/>
  <c r="W514"/>
  <c r="AA514"/>
  <c r="H515"/>
  <c r="M515"/>
  <c r="V515"/>
  <c r="G523"/>
  <c r="L523"/>
  <c r="Q523"/>
  <c r="V523"/>
  <c r="Z523"/>
  <c r="G516"/>
  <c r="L516"/>
  <c r="U523"/>
  <c r="AC516"/>
  <c r="K512"/>
  <c r="W535"/>
  <c r="AA535"/>
  <c r="Q535"/>
  <c r="H541"/>
  <c r="M541"/>
  <c r="Q541"/>
  <c r="Z541"/>
  <c r="G547"/>
  <c r="L547"/>
  <c r="AB547"/>
  <c r="L515"/>
  <c r="Y515"/>
  <c r="I186"/>
  <c r="F436"/>
  <c r="J516"/>
  <c r="AB585"/>
  <c r="J573"/>
  <c r="X535"/>
  <c r="AB512"/>
  <c r="T523"/>
  <c r="I213"/>
  <c r="I554"/>
  <c r="I553" s="1"/>
  <c r="F357"/>
  <c r="E356" s="1"/>
  <c r="R425"/>
  <c r="AD425" s="1"/>
  <c r="H567"/>
  <c r="J515"/>
  <c r="S573"/>
  <c r="L579"/>
  <c r="V573"/>
  <c r="AC523"/>
  <c r="F259"/>
  <c r="R313"/>
  <c r="F9"/>
  <c r="F68"/>
  <c r="E67" s="1"/>
  <c r="F70"/>
  <c r="F73"/>
  <c r="I85"/>
  <c r="F88"/>
  <c r="E87" s="1"/>
  <c r="F182"/>
  <c r="F200"/>
  <c r="E199" s="1"/>
  <c r="F240"/>
  <c r="N535"/>
  <c r="F283"/>
  <c r="E282" s="1"/>
  <c r="F290"/>
  <c r="F310"/>
  <c r="E309" s="1"/>
  <c r="F320"/>
  <c r="E319" s="1"/>
  <c r="F332"/>
  <c r="E331" s="1"/>
  <c r="F348"/>
  <c r="F347" s="1"/>
  <c r="F393"/>
  <c r="I577"/>
  <c r="F398"/>
  <c r="I399"/>
  <c r="F416"/>
  <c r="F430"/>
  <c r="F479"/>
  <c r="E478" s="1"/>
  <c r="F498"/>
  <c r="F497" s="1"/>
  <c r="L517"/>
  <c r="P515"/>
  <c r="K514"/>
  <c r="H529"/>
  <c r="M529"/>
  <c r="N516"/>
  <c r="H547"/>
  <c r="N515"/>
  <c r="S515"/>
  <c r="W515"/>
  <c r="AA515"/>
  <c r="K585"/>
  <c r="P585"/>
  <c r="Y585"/>
  <c r="I434"/>
  <c r="O529"/>
  <c r="AC559"/>
  <c r="Y559"/>
  <c r="AA547"/>
  <c r="W547"/>
  <c r="AB541"/>
  <c r="AC529"/>
  <c r="Y529"/>
  <c r="P529"/>
  <c r="AA529"/>
  <c r="AB514"/>
  <c r="T514"/>
  <c r="P516"/>
  <c r="AD253"/>
  <c r="W585"/>
  <c r="H585"/>
  <c r="F444"/>
  <c r="I300"/>
  <c r="V512"/>
  <c r="F392"/>
  <c r="I25"/>
  <c r="R180"/>
  <c r="AD180" s="1"/>
  <c r="R226"/>
  <c r="AD226" s="1"/>
  <c r="F239"/>
  <c r="E238" s="1"/>
  <c r="I244"/>
  <c r="I263"/>
  <c r="F333"/>
  <c r="N573"/>
  <c r="AC579"/>
  <c r="N579"/>
  <c r="R297"/>
  <c r="AB523"/>
  <c r="R94"/>
  <c r="AD296"/>
  <c r="AD551" s="1"/>
  <c r="F344"/>
  <c r="E343" s="1"/>
  <c r="R587"/>
  <c r="F34"/>
  <c r="F61"/>
  <c r="E60" s="1"/>
  <c r="F72"/>
  <c r="E71" s="1"/>
  <c r="F264"/>
  <c r="E263" s="1"/>
  <c r="Q559"/>
  <c r="R561"/>
  <c r="F433"/>
  <c r="F458"/>
  <c r="E457" s="1"/>
  <c r="F466"/>
  <c r="E465" s="1"/>
  <c r="K559"/>
  <c r="J567"/>
  <c r="J579"/>
  <c r="I253"/>
  <c r="F254"/>
  <c r="E253" s="1"/>
  <c r="F172"/>
  <c r="R525"/>
  <c r="M559"/>
  <c r="I362"/>
  <c r="AD297"/>
  <c r="F175"/>
  <c r="E174" s="1"/>
  <c r="F202"/>
  <c r="E201" s="1"/>
  <c r="R71"/>
  <c r="AD71" s="1"/>
  <c r="I38"/>
  <c r="R136"/>
  <c r="AD136" s="1"/>
  <c r="I145"/>
  <c r="R250"/>
  <c r="AD250" s="1"/>
  <c r="R263"/>
  <c r="AD263" s="1"/>
  <c r="F321"/>
  <c r="R418"/>
  <c r="AD418" s="1"/>
  <c r="O579"/>
  <c r="Y579"/>
  <c r="AD588"/>
  <c r="AD561"/>
  <c r="L514"/>
  <c r="F191"/>
  <c r="F422"/>
  <c r="F421" s="1"/>
  <c r="R7"/>
  <c r="AD7" s="1"/>
  <c r="F14"/>
  <c r="F36"/>
  <c r="E35" s="1"/>
  <c r="I521"/>
  <c r="F77"/>
  <c r="R79"/>
  <c r="AD79" s="1"/>
  <c r="F89"/>
  <c r="R98"/>
  <c r="AD98" s="1"/>
  <c r="I108"/>
  <c r="F109"/>
  <c r="E108" s="1"/>
  <c r="F131"/>
  <c r="F138"/>
  <c r="F158"/>
  <c r="F214"/>
  <c r="E213" s="1"/>
  <c r="F292"/>
  <c r="E291" s="1"/>
  <c r="F305"/>
  <c r="F312"/>
  <c r="E311" s="1"/>
  <c r="F315"/>
  <c r="F324"/>
  <c r="F327"/>
  <c r="I383"/>
  <c r="F432"/>
  <c r="E431" s="1"/>
  <c r="F460"/>
  <c r="E459" s="1"/>
  <c r="F468"/>
  <c r="E467" s="1"/>
  <c r="F475"/>
  <c r="I476"/>
  <c r="I478"/>
  <c r="F491"/>
  <c r="E490" s="1"/>
  <c r="F196"/>
  <c r="F267"/>
  <c r="E266" s="1"/>
  <c r="F176"/>
  <c r="F375"/>
  <c r="F381"/>
  <c r="E380" s="1"/>
  <c r="I390"/>
  <c r="R390"/>
  <c r="AD390" s="1"/>
  <c r="R578"/>
  <c r="F400"/>
  <c r="F402"/>
  <c r="R423"/>
  <c r="AD423" s="1"/>
  <c r="R431"/>
  <c r="AD431" s="1"/>
  <c r="R439"/>
  <c r="AD439" s="1"/>
  <c r="F440"/>
  <c r="E439" s="1"/>
  <c r="R485"/>
  <c r="AD485" s="1"/>
  <c r="F489"/>
  <c r="E488" s="1"/>
  <c r="K567"/>
  <c r="L573"/>
  <c r="P573"/>
  <c r="Z579"/>
  <c r="V579"/>
  <c r="AB567"/>
  <c r="X567"/>
  <c r="T567"/>
  <c r="I490"/>
  <c r="R490"/>
  <c r="AD490" s="1"/>
  <c r="R528"/>
  <c r="R75"/>
  <c r="AD75" s="1"/>
  <c r="AD215"/>
  <c r="F13"/>
  <c r="E12" s="1"/>
  <c r="I28"/>
  <c r="I50"/>
  <c r="R63"/>
  <c r="AD63" s="1"/>
  <c r="F69"/>
  <c r="I94"/>
  <c r="AD578"/>
  <c r="F302"/>
  <c r="R247"/>
  <c r="AD83"/>
  <c r="AD161"/>
  <c r="F161" s="1"/>
  <c r="R15"/>
  <c r="AD15" s="1"/>
  <c r="I32"/>
  <c r="R32"/>
  <c r="AD32" s="1"/>
  <c r="F46"/>
  <c r="N513"/>
  <c r="F113"/>
  <c r="E112" s="1"/>
  <c r="F228"/>
  <c r="F242"/>
  <c r="E241" s="1"/>
  <c r="F245"/>
  <c r="E244" s="1"/>
  <c r="F249"/>
  <c r="I548"/>
  <c r="P547"/>
  <c r="F401"/>
  <c r="I403"/>
  <c r="R403"/>
  <c r="AD403" s="1"/>
  <c r="F420"/>
  <c r="F446"/>
  <c r="F445" s="1"/>
  <c r="F472"/>
  <c r="F500"/>
  <c r="E499" s="1"/>
  <c r="U535"/>
  <c r="V559"/>
  <c r="P523"/>
  <c r="F106"/>
  <c r="I98"/>
  <c r="I12"/>
  <c r="R12"/>
  <c r="AD12" s="1"/>
  <c r="R28"/>
  <c r="AD28" s="1"/>
  <c r="R50"/>
  <c r="AD50" s="1"/>
  <c r="F64"/>
  <c r="F63" s="1"/>
  <c r="R67"/>
  <c r="AD67" s="1"/>
  <c r="F280"/>
  <c r="E279" s="1"/>
  <c r="F382"/>
  <c r="F173"/>
  <c r="F11"/>
  <c r="E10" s="1"/>
  <c r="I22"/>
  <c r="F23"/>
  <c r="F40"/>
  <c r="F48"/>
  <c r="E47" s="1"/>
  <c r="R57"/>
  <c r="AD57" s="1"/>
  <c r="F58"/>
  <c r="E57" s="1"/>
  <c r="F95"/>
  <c r="E94" s="1"/>
  <c r="F115"/>
  <c r="E114" s="1"/>
  <c r="F118"/>
  <c r="E117" s="1"/>
  <c r="F143"/>
  <c r="E142" s="1"/>
  <c r="F169"/>
  <c r="E168" s="1"/>
  <c r="F194"/>
  <c r="E193" s="1"/>
  <c r="F211"/>
  <c r="E210" s="1"/>
  <c r="F219"/>
  <c r="E218" s="1"/>
  <c r="F231"/>
  <c r="E230" s="1"/>
  <c r="F246"/>
  <c r="I259"/>
  <c r="O547"/>
  <c r="F405"/>
  <c r="F448"/>
  <c r="E447" s="1"/>
  <c r="I450"/>
  <c r="F453"/>
  <c r="I455"/>
  <c r="R455"/>
  <c r="AD455" s="1"/>
  <c r="I457"/>
  <c r="R457"/>
  <c r="AD457" s="1"/>
  <c r="I459"/>
  <c r="I461"/>
  <c r="R461"/>
  <c r="AD461" s="1"/>
  <c r="I465"/>
  <c r="R465"/>
  <c r="AD465" s="1"/>
  <c r="I467"/>
  <c r="F469"/>
  <c r="F502"/>
  <c r="E501" s="1"/>
  <c r="I504"/>
  <c r="R504"/>
  <c r="AD504" s="1"/>
  <c r="S585"/>
  <c r="F187"/>
  <c r="E186" s="1"/>
  <c r="T541"/>
  <c r="U529"/>
  <c r="V529"/>
  <c r="Q529"/>
  <c r="I19"/>
  <c r="R19"/>
  <c r="AD19" s="1"/>
  <c r="F20"/>
  <c r="E19" s="1"/>
  <c r="R139"/>
  <c r="AD139" s="1"/>
  <c r="F140"/>
  <c r="AD566"/>
  <c r="AD565" s="1"/>
  <c r="F8"/>
  <c r="E7" s="1"/>
  <c r="F428"/>
  <c r="E427" s="1"/>
  <c r="N523"/>
  <c r="F233"/>
  <c r="E232" s="1"/>
  <c r="F167"/>
  <c r="AD528"/>
  <c r="AD132"/>
  <c r="F133"/>
  <c r="E132" s="1"/>
  <c r="F149"/>
  <c r="F155"/>
  <c r="E154" s="1"/>
  <c r="F160"/>
  <c r="F234"/>
  <c r="F487"/>
  <c r="F225"/>
  <c r="I569"/>
  <c r="I121"/>
  <c r="R171"/>
  <c r="AD171" s="1"/>
  <c r="I177"/>
  <c r="R177"/>
  <c r="AD177" s="1"/>
  <c r="I183"/>
  <c r="R183"/>
  <c r="AD183" s="1"/>
  <c r="I197"/>
  <c r="I199"/>
  <c r="R199"/>
  <c r="AD199" s="1"/>
  <c r="I201"/>
  <c r="R201"/>
  <c r="AD201" s="1"/>
  <c r="I203"/>
  <c r="I206"/>
  <c r="R206"/>
  <c r="AD206" s="1"/>
  <c r="I208"/>
  <c r="R208"/>
  <c r="AD208" s="1"/>
  <c r="F209"/>
  <c r="F208" s="1"/>
  <c r="I210"/>
  <c r="R210"/>
  <c r="AD210" s="1"/>
  <c r="I216"/>
  <c r="AD216"/>
  <c r="I221"/>
  <c r="I223"/>
  <c r="R223"/>
  <c r="AD223" s="1"/>
  <c r="F224"/>
  <c r="I238"/>
  <c r="R238"/>
  <c r="AD238" s="1"/>
  <c r="R244"/>
  <c r="AD244" s="1"/>
  <c r="I271"/>
  <c r="R271"/>
  <c r="AD271" s="1"/>
  <c r="I285"/>
  <c r="R285"/>
  <c r="AD285" s="1"/>
  <c r="I291"/>
  <c r="R291"/>
  <c r="AD291" s="1"/>
  <c r="R300"/>
  <c r="AD300" s="1"/>
  <c r="R306"/>
  <c r="AD306" s="1"/>
  <c r="F307"/>
  <c r="I309"/>
  <c r="R309"/>
  <c r="AD309" s="1"/>
  <c r="I311"/>
  <c r="R311"/>
  <c r="AD311" s="1"/>
  <c r="F314"/>
  <c r="E313" s="1"/>
  <c r="I319"/>
  <c r="I325"/>
  <c r="R325"/>
  <c r="AD325" s="1"/>
  <c r="F329"/>
  <c r="I331"/>
  <c r="R331"/>
  <c r="AD331" s="1"/>
  <c r="F335"/>
  <c r="F334" s="1"/>
  <c r="I336"/>
  <c r="R336"/>
  <c r="AD336" s="1"/>
  <c r="R343"/>
  <c r="AD343" s="1"/>
  <c r="F354"/>
  <c r="E353" s="1"/>
  <c r="I356"/>
  <c r="R356"/>
  <c r="AD356" s="1"/>
  <c r="I364"/>
  <c r="R364"/>
  <c r="AD364" s="1"/>
  <c r="F384"/>
  <c r="E383" s="1"/>
  <c r="F411"/>
  <c r="N421"/>
  <c r="I421" s="1"/>
  <c r="F438"/>
  <c r="G529"/>
  <c r="T535"/>
  <c r="AB535"/>
  <c r="K541"/>
  <c r="M514"/>
  <c r="Q585"/>
  <c r="V585"/>
  <c r="Z585"/>
  <c r="F360"/>
  <c r="F97"/>
  <c r="F134"/>
  <c r="Z573"/>
  <c r="Q573"/>
  <c r="M575"/>
  <c r="H573"/>
  <c r="O518"/>
  <c r="O517" s="1"/>
  <c r="M525"/>
  <c r="AD521"/>
  <c r="F27"/>
  <c r="N53"/>
  <c r="I53" s="1"/>
  <c r="F62"/>
  <c r="F76"/>
  <c r="M81"/>
  <c r="I81" s="1"/>
  <c r="F84"/>
  <c r="I125"/>
  <c r="M136"/>
  <c r="I136" s="1"/>
  <c r="I137"/>
  <c r="M159"/>
  <c r="I159" s="1"/>
  <c r="R165"/>
  <c r="AD165" s="1"/>
  <c r="M226"/>
  <c r="I226" s="1"/>
  <c r="I261"/>
  <c r="AD295"/>
  <c r="F295" s="1"/>
  <c r="E294" s="1"/>
  <c r="F304"/>
  <c r="E303" s="1"/>
  <c r="R322"/>
  <c r="AD322" s="1"/>
  <c r="R328"/>
  <c r="AD328" s="1"/>
  <c r="I334"/>
  <c r="R334"/>
  <c r="AD334" s="1"/>
  <c r="I339"/>
  <c r="I341"/>
  <c r="R341"/>
  <c r="AD341" s="1"/>
  <c r="I345"/>
  <c r="R345"/>
  <c r="AD345" s="1"/>
  <c r="I347"/>
  <c r="R347"/>
  <c r="AD347" s="1"/>
  <c r="R353"/>
  <c r="AD353" s="1"/>
  <c r="F358"/>
  <c r="R362"/>
  <c r="AD362" s="1"/>
  <c r="I367"/>
  <c r="R367"/>
  <c r="AD367" s="1"/>
  <c r="I370"/>
  <c r="F371"/>
  <c r="E370" s="1"/>
  <c r="R377"/>
  <c r="AD377" s="1"/>
  <c r="F378"/>
  <c r="E377" s="1"/>
  <c r="R386"/>
  <c r="AD386" s="1"/>
  <c r="F387"/>
  <c r="E386" s="1"/>
  <c r="AD577"/>
  <c r="R397"/>
  <c r="AD397" s="1"/>
  <c r="I406"/>
  <c r="F408"/>
  <c r="I409"/>
  <c r="R409"/>
  <c r="AD409" s="1"/>
  <c r="R415"/>
  <c r="AD415" s="1"/>
  <c r="R421"/>
  <c r="AD421" s="1"/>
  <c r="F424"/>
  <c r="F426"/>
  <c r="E425" s="1"/>
  <c r="I427"/>
  <c r="R427"/>
  <c r="AD427" s="1"/>
  <c r="I575"/>
  <c r="R437"/>
  <c r="AD437" s="1"/>
  <c r="I442"/>
  <c r="R442"/>
  <c r="AD442" s="1"/>
  <c r="I445"/>
  <c r="R445"/>
  <c r="AD445" s="1"/>
  <c r="I447"/>
  <c r="R447"/>
  <c r="AD447" s="1"/>
  <c r="I581"/>
  <c r="R470"/>
  <c r="AD470" s="1"/>
  <c r="R473"/>
  <c r="AD473" s="1"/>
  <c r="I488"/>
  <c r="I499"/>
  <c r="R499"/>
  <c r="AD499" s="1"/>
  <c r="I501"/>
  <c r="R501"/>
  <c r="AD501" s="1"/>
  <c r="F503"/>
  <c r="F111"/>
  <c r="O104"/>
  <c r="U579"/>
  <c r="T547"/>
  <c r="Y547"/>
  <c r="S535"/>
  <c r="AA512"/>
  <c r="W512"/>
  <c r="L512"/>
  <c r="G512"/>
  <c r="Z517"/>
  <c r="V517"/>
  <c r="Q513"/>
  <c r="H513"/>
  <c r="W523"/>
  <c r="S523"/>
  <c r="AA513"/>
  <c r="S513"/>
  <c r="J523"/>
  <c r="I568"/>
  <c r="AD527"/>
  <c r="I44"/>
  <c r="I90"/>
  <c r="F505"/>
  <c r="E504" s="1"/>
  <c r="N529"/>
  <c r="M516"/>
  <c r="J547"/>
  <c r="K547"/>
  <c r="O515"/>
  <c r="T515"/>
  <c r="X515"/>
  <c r="G515"/>
  <c r="U515"/>
  <c r="AC515"/>
  <c r="K573"/>
  <c r="O516"/>
  <c r="T516"/>
  <c r="X573"/>
  <c r="AB516"/>
  <c r="H579"/>
  <c r="F93"/>
  <c r="S104"/>
  <c r="R104" s="1"/>
  <c r="F100"/>
  <c r="I7"/>
  <c r="I10"/>
  <c r="R10"/>
  <c r="AD10" s="1"/>
  <c r="I15"/>
  <c r="F17"/>
  <c r="I35"/>
  <c r="F37"/>
  <c r="I41"/>
  <c r="F43"/>
  <c r="I47"/>
  <c r="R81"/>
  <c r="AD81" s="1"/>
  <c r="I87"/>
  <c r="R87"/>
  <c r="AD87" s="1"/>
  <c r="F96"/>
  <c r="I101"/>
  <c r="R101"/>
  <c r="AD101" s="1"/>
  <c r="F103"/>
  <c r="I112"/>
  <c r="R112"/>
  <c r="AD112" s="1"/>
  <c r="I114"/>
  <c r="F124"/>
  <c r="R125"/>
  <c r="AD125" s="1"/>
  <c r="F126"/>
  <c r="E125" s="1"/>
  <c r="R129"/>
  <c r="AD129" s="1"/>
  <c r="F130"/>
  <c r="E129" s="1"/>
  <c r="I132"/>
  <c r="I142"/>
  <c r="R142"/>
  <c r="AD142" s="1"/>
  <c r="F144"/>
  <c r="I148"/>
  <c r="F150"/>
  <c r="F153"/>
  <c r="M154"/>
  <c r="I154" s="1"/>
  <c r="R154"/>
  <c r="AD154" s="1"/>
  <c r="F156"/>
  <c r="R159"/>
  <c r="AD159" s="1"/>
  <c r="I527"/>
  <c r="F166"/>
  <c r="I168"/>
  <c r="R168"/>
  <c r="AD168" s="1"/>
  <c r="F170"/>
  <c r="I174"/>
  <c r="I180"/>
  <c r="I189"/>
  <c r="R189"/>
  <c r="AD189" s="1"/>
  <c r="R193"/>
  <c r="AD193" s="1"/>
  <c r="O193"/>
  <c r="I193" s="1"/>
  <c r="F195"/>
  <c r="R218"/>
  <c r="AD218" s="1"/>
  <c r="I230"/>
  <c r="R230"/>
  <c r="AD230" s="1"/>
  <c r="R232"/>
  <c r="AD232" s="1"/>
  <c r="I235"/>
  <c r="R235"/>
  <c r="AD235" s="1"/>
  <c r="R241"/>
  <c r="AD241" s="1"/>
  <c r="I537"/>
  <c r="I266"/>
  <c r="R266"/>
  <c r="AD266" s="1"/>
  <c r="I268"/>
  <c r="R268"/>
  <c r="AD268" s="1"/>
  <c r="F269"/>
  <c r="I274"/>
  <c r="R276"/>
  <c r="AD276" s="1"/>
  <c r="I282"/>
  <c r="R282"/>
  <c r="AD282" s="1"/>
  <c r="I288"/>
  <c r="R288"/>
  <c r="AD288" s="1"/>
  <c r="R294"/>
  <c r="I297"/>
  <c r="F299"/>
  <c r="F301"/>
  <c r="I303"/>
  <c r="I561"/>
  <c r="M425"/>
  <c r="I425" s="1"/>
  <c r="M485"/>
  <c r="I485" s="1"/>
  <c r="F435"/>
  <c r="O523"/>
  <c r="O535"/>
  <c r="U585"/>
  <c r="AA579"/>
  <c r="W579"/>
  <c r="S579"/>
  <c r="AC567"/>
  <c r="P567"/>
  <c r="AA559"/>
  <c r="S559"/>
  <c r="Z547"/>
  <c r="X541"/>
  <c r="AA516"/>
  <c r="W516"/>
  <c r="S529"/>
  <c r="F258"/>
  <c r="E257" s="1"/>
  <c r="S547"/>
  <c r="AD94"/>
  <c r="AD549"/>
  <c r="F278"/>
  <c r="AD247"/>
  <c r="F248"/>
  <c r="AD227"/>
  <c r="R536"/>
  <c r="AD373"/>
  <c r="R372"/>
  <c r="R568"/>
  <c r="R580"/>
  <c r="AD451"/>
  <c r="F451" s="1"/>
  <c r="AD237"/>
  <c r="AD537" s="1"/>
  <c r="R537"/>
  <c r="R543"/>
  <c r="AD270"/>
  <c r="AD379"/>
  <c r="AD569" s="1"/>
  <c r="R569"/>
  <c r="I587"/>
  <c r="F507"/>
  <c r="H517"/>
  <c r="G517"/>
  <c r="AD137"/>
  <c r="AD524" s="1"/>
  <c r="AA517"/>
  <c r="R577"/>
  <c r="F49"/>
  <c r="F66"/>
  <c r="F179"/>
  <c r="F287"/>
  <c r="R560"/>
  <c r="F385"/>
  <c r="I412"/>
  <c r="K516"/>
  <c r="F352"/>
  <c r="F562" s="1"/>
  <c r="F74"/>
  <c r="F351"/>
  <c r="F192"/>
  <c r="F526" s="1"/>
  <c r="V513"/>
  <c r="W517"/>
  <c r="F146"/>
  <c r="F252"/>
  <c r="Z516"/>
  <c r="R549"/>
  <c r="AD575"/>
  <c r="R526"/>
  <c r="R203"/>
  <c r="AD203" s="1"/>
  <c r="U573"/>
  <c r="G573"/>
  <c r="AD486"/>
  <c r="H523"/>
  <c r="H512"/>
  <c r="R530"/>
  <c r="R529" s="1"/>
  <c r="AD207"/>
  <c r="I551"/>
  <c r="F340"/>
  <c r="AD554"/>
  <c r="AD553" s="1"/>
  <c r="S512"/>
  <c r="F396"/>
  <c r="I560"/>
  <c r="F395"/>
  <c r="I542"/>
  <c r="I541" s="1"/>
  <c r="F31"/>
  <c r="F217"/>
  <c r="I279"/>
  <c r="F293"/>
  <c r="F317"/>
  <c r="F404"/>
  <c r="I139"/>
  <c r="I549"/>
  <c r="F298"/>
  <c r="F355"/>
  <c r="F162"/>
  <c r="F413"/>
  <c r="AC573"/>
  <c r="I528"/>
  <c r="I578"/>
  <c r="U516"/>
  <c r="E261"/>
  <c r="Z513"/>
  <c r="T573"/>
  <c r="Q516"/>
  <c r="R554"/>
  <c r="R553" s="1"/>
  <c r="U513"/>
  <c r="R85"/>
  <c r="AD86"/>
  <c r="AD85" s="1"/>
  <c r="AD449"/>
  <c r="F449" s="1"/>
  <c r="R581"/>
  <c r="F281"/>
  <c r="R35"/>
  <c r="AD35" s="1"/>
  <c r="R41"/>
  <c r="AD41" s="1"/>
  <c r="R47"/>
  <c r="AD47" s="1"/>
  <c r="R65"/>
  <c r="AD65" s="1"/>
  <c r="R145"/>
  <c r="AD145" s="1"/>
  <c r="I151"/>
  <c r="R197"/>
  <c r="AD197" s="1"/>
  <c r="R221"/>
  <c r="AD221" s="1"/>
  <c r="R279"/>
  <c r="AD279" s="1"/>
  <c r="I306"/>
  <c r="R350"/>
  <c r="I359"/>
  <c r="R383"/>
  <c r="AD383" s="1"/>
  <c r="R575"/>
  <c r="R399"/>
  <c r="AD399" s="1"/>
  <c r="R412"/>
  <c r="AD412" s="1"/>
  <c r="I439"/>
  <c r="R450"/>
  <c r="AD450" s="1"/>
  <c r="R459"/>
  <c r="AD459" s="1"/>
  <c r="R463"/>
  <c r="AD463" s="1"/>
  <c r="AD478"/>
  <c r="R483"/>
  <c r="AD483" s="1"/>
  <c r="G514"/>
  <c r="K515"/>
  <c r="AB515"/>
  <c r="X516"/>
  <c r="R132"/>
  <c r="R108"/>
  <c r="H516"/>
  <c r="X547"/>
  <c r="V541"/>
  <c r="Z514"/>
  <c r="Q514"/>
  <c r="S516"/>
  <c r="AA585"/>
  <c r="N585"/>
  <c r="J585"/>
  <c r="AC535"/>
  <c r="R548"/>
  <c r="AD275"/>
  <c r="R22"/>
  <c r="AD22" s="1"/>
  <c r="F33"/>
  <c r="R44"/>
  <c r="AD44" s="1"/>
  <c r="F55"/>
  <c r="I57"/>
  <c r="I63"/>
  <c r="I79"/>
  <c r="AD108"/>
  <c r="I129"/>
  <c r="R148"/>
  <c r="AD148" s="1"/>
  <c r="I165"/>
  <c r="R174"/>
  <c r="AD174" s="1"/>
  <c r="I232"/>
  <c r="I241"/>
  <c r="I247"/>
  <c r="R542"/>
  <c r="R274"/>
  <c r="AD274" s="1"/>
  <c r="R303"/>
  <c r="AD303" s="1"/>
  <c r="R319"/>
  <c r="AD319" s="1"/>
  <c r="F337"/>
  <c r="I343"/>
  <c r="F365"/>
  <c r="R374"/>
  <c r="AD374" s="1"/>
  <c r="I377"/>
  <c r="I415"/>
  <c r="I473"/>
  <c r="R488"/>
  <c r="AD488" s="1"/>
  <c r="R497"/>
  <c r="AD497" s="1"/>
  <c r="G559"/>
  <c r="R434"/>
  <c r="AD434" s="1"/>
  <c r="I255"/>
  <c r="F123"/>
  <c r="R121"/>
  <c r="AD121" s="1"/>
  <c r="F122"/>
  <c r="E121" s="1"/>
  <c r="F21"/>
  <c r="Z512"/>
  <c r="K517"/>
  <c r="Y513"/>
  <c r="P513"/>
  <c r="L513"/>
  <c r="G513"/>
  <c r="F102"/>
  <c r="E101" s="1"/>
  <c r="P579"/>
  <c r="T512"/>
  <c r="AC517"/>
  <c r="Y517"/>
  <c r="U512"/>
  <c r="N517"/>
  <c r="J517"/>
  <c r="AB513"/>
  <c r="X517"/>
  <c r="K513"/>
  <c r="R117"/>
  <c r="AD117" s="1"/>
  <c r="S517"/>
  <c r="T517"/>
  <c r="U517"/>
  <c r="Y512"/>
  <c r="J512"/>
  <c r="X513"/>
  <c r="T513"/>
  <c r="AB517"/>
  <c r="AC512"/>
  <c r="R90"/>
  <c r="AD92"/>
  <c r="F92" s="1"/>
  <c r="R519"/>
  <c r="Q512"/>
  <c r="Q517"/>
  <c r="AD91"/>
  <c r="AD90" s="1"/>
  <c r="P512"/>
  <c r="P517"/>
  <c r="P90"/>
  <c r="O513"/>
  <c r="R518"/>
  <c r="AD54"/>
  <c r="R53"/>
  <c r="AD53" s="1"/>
  <c r="AD294" l="1"/>
  <c r="M535"/>
  <c r="N512"/>
  <c r="N511" s="1"/>
  <c r="I524"/>
  <c r="I523" s="1"/>
  <c r="AD350"/>
  <c r="F309"/>
  <c r="N567"/>
  <c r="I522"/>
  <c r="I516" s="1"/>
  <c r="I536"/>
  <c r="F45"/>
  <c r="E44" s="1"/>
  <c r="M517"/>
  <c r="M573"/>
  <c r="F368"/>
  <c r="F367" s="1"/>
  <c r="I580"/>
  <c r="I579" s="1"/>
  <c r="I104"/>
  <c r="F255"/>
  <c r="F386"/>
  <c r="AD586"/>
  <c r="AD585" s="1"/>
  <c r="F285"/>
  <c r="F575"/>
  <c r="F300"/>
  <c r="E497"/>
  <c r="E159"/>
  <c r="F423"/>
  <c r="F116"/>
  <c r="F114" s="1"/>
  <c r="F38"/>
  <c r="F183"/>
  <c r="F328"/>
  <c r="F50"/>
  <c r="F499"/>
  <c r="F41"/>
  <c r="F139"/>
  <c r="F212"/>
  <c r="F534" s="1"/>
  <c r="F199"/>
  <c r="F463"/>
  <c r="E334"/>
  <c r="F311"/>
  <c r="F455"/>
  <c r="E345"/>
  <c r="F12"/>
  <c r="E341"/>
  <c r="F391"/>
  <c r="F574" s="1"/>
  <c r="F129"/>
  <c r="F288"/>
  <c r="E461"/>
  <c r="F425"/>
  <c r="F406"/>
  <c r="F356"/>
  <c r="F203"/>
  <c r="F506"/>
  <c r="F589" s="1"/>
  <c r="F271"/>
  <c r="F28"/>
  <c r="R515"/>
  <c r="E423"/>
  <c r="F22"/>
  <c r="F470"/>
  <c r="F478"/>
  <c r="F180"/>
  <c r="F409"/>
  <c r="AD548"/>
  <c r="AD547" s="1"/>
  <c r="E347"/>
  <c r="E208"/>
  <c r="F418"/>
  <c r="F370"/>
  <c r="F306"/>
  <c r="F415"/>
  <c r="F108"/>
  <c r="F521"/>
  <c r="E139"/>
  <c r="F25"/>
  <c r="F241"/>
  <c r="F230"/>
  <c r="F47"/>
  <c r="M513"/>
  <c r="F282"/>
  <c r="F322"/>
  <c r="AD516"/>
  <c r="F325"/>
  <c r="F439"/>
  <c r="F87"/>
  <c r="F434"/>
  <c r="F168"/>
  <c r="F165"/>
  <c r="I567"/>
  <c r="F588"/>
  <c r="F490"/>
  <c r="F313"/>
  <c r="F319"/>
  <c r="F442"/>
  <c r="F291"/>
  <c r="E415"/>
  <c r="E22"/>
  <c r="F218"/>
  <c r="F142"/>
  <c r="F15"/>
  <c r="F229"/>
  <c r="F540" s="1"/>
  <c r="F197"/>
  <c r="F578"/>
  <c r="F379"/>
  <c r="F569" s="1"/>
  <c r="V511"/>
  <c r="F276"/>
  <c r="F98"/>
  <c r="F343"/>
  <c r="F374"/>
  <c r="F459"/>
  <c r="F253"/>
  <c r="F473"/>
  <c r="E480"/>
  <c r="F112"/>
  <c r="F476"/>
  <c r="AD559"/>
  <c r="F397"/>
  <c r="E397"/>
  <c r="F296"/>
  <c r="F294" s="1"/>
  <c r="R514"/>
  <c r="E328"/>
  <c r="F67"/>
  <c r="F201"/>
  <c r="F125"/>
  <c r="E63"/>
  <c r="F151"/>
  <c r="F101"/>
  <c r="F35"/>
  <c r="F427"/>
  <c r="F501"/>
  <c r="F60"/>
  <c r="F186"/>
  <c r="F117"/>
  <c r="F238"/>
  <c r="F331"/>
  <c r="E362"/>
  <c r="I559"/>
  <c r="F465"/>
  <c r="AC511"/>
  <c r="J511"/>
  <c r="F237"/>
  <c r="F235" s="1"/>
  <c r="R573"/>
  <c r="AD580"/>
  <c r="E79"/>
  <c r="R559"/>
  <c r="F177"/>
  <c r="F193"/>
  <c r="F154"/>
  <c r="F232"/>
  <c r="F104"/>
  <c r="F303"/>
  <c r="F171"/>
  <c r="E421"/>
  <c r="F399"/>
  <c r="I573"/>
  <c r="E434"/>
  <c r="I515"/>
  <c r="F587"/>
  <c r="E171"/>
  <c r="R516"/>
  <c r="F132"/>
  <c r="E374"/>
  <c r="F174"/>
  <c r="F457"/>
  <c r="F263"/>
  <c r="F431"/>
  <c r="F527"/>
  <c r="R585"/>
  <c r="M523"/>
  <c r="F467"/>
  <c r="F279"/>
  <c r="F250"/>
  <c r="F488"/>
  <c r="AD515"/>
  <c r="E445"/>
  <c r="X511"/>
  <c r="F380"/>
  <c r="F10"/>
  <c r="F244"/>
  <c r="F577"/>
  <c r="F257"/>
  <c r="E399"/>
  <c r="F528"/>
  <c r="AD531"/>
  <c r="F215"/>
  <c r="E452"/>
  <c r="F452"/>
  <c r="AD520"/>
  <c r="AD514" s="1"/>
  <c r="F83"/>
  <c r="F520" s="1"/>
  <c r="O512"/>
  <c r="O511" s="1"/>
  <c r="AD525"/>
  <c r="E300"/>
  <c r="F266"/>
  <c r="F542"/>
  <c r="F19"/>
  <c r="E268"/>
  <c r="AD573"/>
  <c r="F383"/>
  <c r="F94"/>
  <c r="F57"/>
  <c r="F7"/>
  <c r="E75"/>
  <c r="F75"/>
  <c r="H511"/>
  <c r="K511"/>
  <c r="W511"/>
  <c r="F437"/>
  <c r="E437"/>
  <c r="F223"/>
  <c r="E223"/>
  <c r="F148"/>
  <c r="E148"/>
  <c r="P511"/>
  <c r="AD581"/>
  <c r="U511"/>
  <c r="L511"/>
  <c r="F561"/>
  <c r="S511"/>
  <c r="E306"/>
  <c r="R567"/>
  <c r="E165"/>
  <c r="E359"/>
  <c r="F359"/>
  <c r="F159"/>
  <c r="AD519"/>
  <c r="Q511"/>
  <c r="G511"/>
  <c r="F121"/>
  <c r="R547"/>
  <c r="F71"/>
  <c r="AA511"/>
  <c r="M512"/>
  <c r="F275"/>
  <c r="F274" s="1"/>
  <c r="F447"/>
  <c r="F581"/>
  <c r="E403"/>
  <c r="F403"/>
  <c r="F137"/>
  <c r="F524" s="1"/>
  <c r="F297"/>
  <c r="E297"/>
  <c r="F270"/>
  <c r="AD543"/>
  <c r="AD541" s="1"/>
  <c r="F227"/>
  <c r="F536" s="1"/>
  <c r="AD536"/>
  <c r="AD535" s="1"/>
  <c r="F364"/>
  <c r="E364"/>
  <c r="F221"/>
  <c r="E221"/>
  <c r="F316"/>
  <c r="E316"/>
  <c r="F216"/>
  <c r="E216"/>
  <c r="F339"/>
  <c r="E339"/>
  <c r="F554"/>
  <c r="F553" s="1"/>
  <c r="F486"/>
  <c r="F586" s="1"/>
  <c r="E483"/>
  <c r="F483"/>
  <c r="F86"/>
  <c r="F519"/>
  <c r="T511"/>
  <c r="AB511"/>
  <c r="Z511"/>
  <c r="R541"/>
  <c r="I513"/>
  <c r="I585"/>
  <c r="R579"/>
  <c r="R535"/>
  <c r="R523"/>
  <c r="F32"/>
  <c r="E32"/>
  <c r="F412"/>
  <c r="E412"/>
  <c r="E394"/>
  <c r="F394"/>
  <c r="F350"/>
  <c r="E350"/>
  <c r="F560"/>
  <c r="E450"/>
  <c r="F450"/>
  <c r="F145"/>
  <c r="E145"/>
  <c r="F336"/>
  <c r="E336"/>
  <c r="AD530"/>
  <c r="F207"/>
  <c r="F65"/>
  <c r="E65"/>
  <c r="F373"/>
  <c r="AD372"/>
  <c r="AD568"/>
  <c r="AD567" s="1"/>
  <c r="F247"/>
  <c r="E247"/>
  <c r="F189"/>
  <c r="F525"/>
  <c r="R513"/>
  <c r="Y511"/>
  <c r="I547"/>
  <c r="F580"/>
  <c r="F353"/>
  <c r="F549"/>
  <c r="F91"/>
  <c r="R517"/>
  <c r="R512"/>
  <c r="F54"/>
  <c r="AD518"/>
  <c r="I517" l="1"/>
  <c r="M511"/>
  <c r="F390"/>
  <c r="I512"/>
  <c r="F44"/>
  <c r="I535"/>
  <c r="F566"/>
  <c r="F565" s="1"/>
  <c r="E367"/>
  <c r="F210"/>
  <c r="F522"/>
  <c r="F516" s="1"/>
  <c r="F377"/>
  <c r="F504"/>
  <c r="F573"/>
  <c r="E390"/>
  <c r="F551"/>
  <c r="F515" s="1"/>
  <c r="F585"/>
  <c r="F514"/>
  <c r="AD579"/>
  <c r="F537"/>
  <c r="F535" s="1"/>
  <c r="AD523"/>
  <c r="AD513"/>
  <c r="F531"/>
  <c r="F213"/>
  <c r="F81"/>
  <c r="AD512"/>
  <c r="F559"/>
  <c r="AD529"/>
  <c r="I511"/>
  <c r="E274"/>
  <c r="F548"/>
  <c r="F530"/>
  <c r="E206"/>
  <c r="F206"/>
  <c r="F543"/>
  <c r="F541" s="1"/>
  <c r="F268"/>
  <c r="F579"/>
  <c r="E85"/>
  <c r="F85"/>
  <c r="F226"/>
  <c r="E226"/>
  <c r="E136"/>
  <c r="F136"/>
  <c r="F523"/>
  <c r="F372"/>
  <c r="E372"/>
  <c r="F568"/>
  <c r="F567" s="1"/>
  <c r="E485"/>
  <c r="F485"/>
  <c r="R511"/>
  <c r="E90"/>
  <c r="F90"/>
  <c r="AD517"/>
  <c r="E53"/>
  <c r="F518"/>
  <c r="F53"/>
  <c r="F547" l="1"/>
  <c r="AD511"/>
  <c r="F529"/>
  <c r="F513"/>
  <c r="F512"/>
  <c r="F517"/>
  <c r="F511" l="1"/>
</calcChain>
</file>

<file path=xl/sharedStrings.xml><?xml version="1.0" encoding="utf-8"?>
<sst xmlns="http://schemas.openxmlformats.org/spreadsheetml/2006/main" count="953" uniqueCount="448">
  <si>
    <t xml:space="preserve">Zadania Inwestycyjne na lata 2015 - 2019 w tym, które otrzymały dofinansowanie z funduszy europejskich </t>
  </si>
  <si>
    <t>L.p.</t>
  </si>
  <si>
    <t>Nazwa zadania</t>
  </si>
  <si>
    <t>Realizujący</t>
  </si>
  <si>
    <t>Lata realizacji</t>
  </si>
  <si>
    <t>Nakłady [ w tys. zł ]</t>
  </si>
  <si>
    <t>ogółem śr. Budżetwe</t>
  </si>
  <si>
    <t>ogółem</t>
  </si>
  <si>
    <t>do 2014</t>
  </si>
  <si>
    <t>do 2015</t>
  </si>
  <si>
    <t>w latach planu</t>
  </si>
  <si>
    <t>po 2021</t>
  </si>
  <si>
    <t>po 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</si>
  <si>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</si>
  <si>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</si>
  <si>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</si>
  <si>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</si>
  <si>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</si>
  <si>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</si>
  <si>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</si>
  <si>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</si>
  <si>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</si>
  <si>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</si>
  <si>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</si>
  <si>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</si>
  <si>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</si>
  <si>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</si>
  <si>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</si>
  <si>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         TRANSPORT I ŁĄCZNOŚĆ </t>
  </si>
  <si>
    <t>Prace przygotowawcze i zadania towarzyszące inwestycjom drogowym</t>
  </si>
  <si>
    <t>2004
2028</t>
  </si>
  <si>
    <t>Środki własne</t>
  </si>
  <si>
    <t>Środki pozostałe - MPWiK</t>
  </si>
  <si>
    <t>Program ruchu pieszego</t>
  </si>
  <si>
    <t>ZDIUM
ZIM
DIG
BZP</t>
  </si>
  <si>
    <t>2015
2021</t>
  </si>
  <si>
    <t>Budowa nowych sygnalizacji świetlnych</t>
  </si>
  <si>
    <t>ZDiUM
WI</t>
  </si>
  <si>
    <t>2001
2015</t>
  </si>
  <si>
    <t>Środki pozostałe</t>
  </si>
  <si>
    <t xml:space="preserve">Program rowerowy </t>
  </si>
  <si>
    <t>Środki UE</t>
  </si>
  <si>
    <t xml:space="preserve">Rozbudowa układu komunikacyjnego w obrębie osiedla Psie Pole </t>
  </si>
  <si>
    <t xml:space="preserve">Spółka WI </t>
  </si>
  <si>
    <t>2008
2015</t>
  </si>
  <si>
    <t>Przebudowa ul. Bardzkiej w ciągu drogi wojewódzkiej nr 395 we Wrocławiu</t>
  </si>
  <si>
    <t xml:space="preserve">Zintegrowany System Transportu Szynowego w Aglomeracji we Wrocławiu - etap I </t>
  </si>
  <si>
    <t xml:space="preserve">
Spółka WI
ZTS</t>
  </si>
  <si>
    <t>2008
2016</t>
  </si>
  <si>
    <t>Środki pozostałe -  MPK</t>
  </si>
  <si>
    <t>Przebudowa ul. Kosmonautów w ciągu drogi krajowej nr 94 we Wrocławiu- etap I</t>
  </si>
  <si>
    <t>Spółka WI</t>
  </si>
  <si>
    <t>Środki pozostałe -GDDKiA, MPWiK</t>
  </si>
  <si>
    <t>Przebudowa ul.Buforowej w ciągu drogi wojewódzkiej nr 395 we Wrocławiu</t>
  </si>
  <si>
    <t xml:space="preserve">Zagospodarowanie terenu wschodniego  pomiędzy obszarem stadionu i rzeką Ślęzą </t>
  </si>
  <si>
    <t>2009
2015</t>
  </si>
  <si>
    <t>Inteligentny System Transportu "ITS Wrocław"</t>
  </si>
  <si>
    <t>ZDIUM</t>
  </si>
  <si>
    <t>2010
2015</t>
  </si>
  <si>
    <t>Rozbudowa systemu zarządzania ruchem we Wrocławiu, w tym o nowe sygnalizacje świetlne, wyświetlacze pomocnicze ITS oraz aplikację mobilną</t>
  </si>
  <si>
    <t>2016
2019</t>
  </si>
  <si>
    <t>Poprawa funkcjonalności komunikacyjnej w rejonie centrum</t>
  </si>
  <si>
    <t>Spółka WI
ZIM</t>
  </si>
  <si>
    <t>2012
2021</t>
  </si>
  <si>
    <t>Przebudowa ul.  Starogroblowej</t>
  </si>
  <si>
    <t>2012
2015</t>
  </si>
  <si>
    <t xml:space="preserve">Budowa osi zachodniej we Wrocławiu w ciągu drogi krajowej nr 94 </t>
  </si>
  <si>
    <t>2008
2019</t>
  </si>
  <si>
    <t>Program poprawy stanu technicznego infrastruktury drogowej</t>
  </si>
  <si>
    <t>Przebudowa ul.  Okulickiego</t>
  </si>
  <si>
    <t>2014
2016</t>
  </si>
  <si>
    <t xml:space="preserve">Przebudowa ul. Lotniczej w ciągu drogi krajowej nr 94 we Wrocławiu - etap II </t>
  </si>
  <si>
    <t>Rozbudowa zajezdni autobusowej przy ul. Obornickiej</t>
  </si>
  <si>
    <t>2014
2015</t>
  </si>
  <si>
    <t>Zintegrowany System Transportu Szynowego w Aglomeracji we Wrocławiu - etap II</t>
  </si>
  <si>
    <t>DIG
 ZTS</t>
  </si>
  <si>
    <t>2013
2016</t>
  </si>
  <si>
    <t>Środki pozostałe -  MPK,MPWiK</t>
  </si>
  <si>
    <t>Program inicjatyw lokalnych</t>
  </si>
  <si>
    <t>GFOŚ</t>
  </si>
  <si>
    <t xml:space="preserve">Budowa ul.Racławickiej </t>
  </si>
  <si>
    <t>2008
2017</t>
  </si>
  <si>
    <t>WFOŚ</t>
  </si>
  <si>
    <t>Środki pozostałe-MPWiK,Deweloper</t>
  </si>
  <si>
    <t xml:space="preserve">Wrocławski Budżet Obywatelski </t>
  </si>
  <si>
    <t>BZP
ZDiUM</t>
  </si>
  <si>
    <t>2014
2020</t>
  </si>
  <si>
    <t xml:space="preserve">Budowa ul.Wojanowskiej i drogi w ciągu Alei Stabłowickiej we Wrocławiu </t>
  </si>
  <si>
    <t>2015
2017</t>
  </si>
  <si>
    <t>Budżet Państwa</t>
  </si>
  <si>
    <t>MAN Wrocław. Wrocławska sieć teleinformatyczna na potrzeby sprawnego zarządzania  miastem</t>
  </si>
  <si>
    <t>CUI</t>
  </si>
  <si>
    <t>2015
2019</t>
  </si>
  <si>
    <t>Rozbudowa układu drogowego w rejonie ulic Parafialnej i Pawiej</t>
  </si>
  <si>
    <t>Spólka WI</t>
  </si>
  <si>
    <t>Środki pozostałe - MPWiK, INNE</t>
  </si>
  <si>
    <t>2016
2020</t>
  </si>
  <si>
    <t xml:space="preserve">Budowa Alei Wielkiej Wyspy we Wrocławiu </t>
  </si>
  <si>
    <t>Budowa systemu "Parkuj i Jedź" we Wrocławiu-Etap I</t>
  </si>
  <si>
    <t>2016
2018</t>
  </si>
  <si>
    <t>Przebudowa ul. Wilkszyńskiej</t>
  </si>
  <si>
    <t>2017
2018</t>
  </si>
  <si>
    <t>2017
2019</t>
  </si>
  <si>
    <t xml:space="preserve">Udział Miasta w budowie Wschodniej Obwodnicy Wrocławia </t>
  </si>
  <si>
    <t>DIG</t>
  </si>
  <si>
    <t>2018
2020</t>
  </si>
  <si>
    <t xml:space="preserve">Przebudowa ul.Mościckiego od ul. Topolowej do ul.Ziemniaczanej </t>
  </si>
  <si>
    <t>Zintegrowany System Transportu Szynowego w Aglomeracji we Wrocławiu - etap III</t>
  </si>
  <si>
    <t>Zintegrowany System Transportu Szynowego w Aglomeracji we Wrocławiu - etap IV</t>
  </si>
  <si>
    <t>Rozbudowa ul.Osobowickiej od Obwodnicy Śródmiejskiej Wrocławia do ul.Lipskiej</t>
  </si>
  <si>
    <t xml:space="preserve">
Spółka WI </t>
  </si>
  <si>
    <t>Program inicjatyw Rad Osiedli</t>
  </si>
  <si>
    <t>2017
2021</t>
  </si>
  <si>
    <t xml:space="preserve">           GOSPODARKA MIESZKANIOWA </t>
  </si>
  <si>
    <t xml:space="preserve">Program przebudowy  gminnego zasobu mieszkaniowego </t>
  </si>
  <si>
    <t>ZZK
Spółka WM
WicePrezydent</t>
  </si>
  <si>
    <t>WFOŚ, NFOŚ</t>
  </si>
  <si>
    <t>Program rozwoju terenów pod mieszkalnictwo</t>
  </si>
  <si>
    <t>Środki pozostałe - Developerzy</t>
  </si>
  <si>
    <t>Środki pozostałe - TBS</t>
  </si>
  <si>
    <t>GFOŚ, WFOŚ</t>
  </si>
  <si>
    <t>Budowa infrastruktury technicznej, dróg oraz miejskich obiektów użyteczności publicznej na osiedlu " Nowe Żerniki"</t>
  </si>
  <si>
    <t>Środki pozostałe-MPWiK,Fortum</t>
  </si>
  <si>
    <t>Wykonanie  robót budowlanych w obiekcie przy ul. Grunwaldzkiej 12 B służącym rehabilitacji osób niepełnosprawnych</t>
  </si>
  <si>
    <t>Spółka WM</t>
  </si>
  <si>
    <t>2013
2015</t>
  </si>
  <si>
    <t>Środki pozostałe -PFRON</t>
  </si>
  <si>
    <t xml:space="preserve">Program Rewitalizacji Przedmieścia Oławskiego i Przedmieścia Odrzańskiego we Wrocławiu </t>
  </si>
  <si>
    <t>2015
2020</t>
  </si>
  <si>
    <t>Modelowa Rewitalizacja Miast-4 kąty na trójkącie</t>
  </si>
  <si>
    <t xml:space="preserve">Modernizacja zabudowy mieszkaniowo-usługowej - pierzei wschodniej, północnej i zachodniej placu Nowy Targ </t>
  </si>
  <si>
    <t>BZP
ZZK</t>
  </si>
  <si>
    <t>2015
2018</t>
  </si>
  <si>
    <t>Środki pozostałe -współnoty mieszkaniowe</t>
  </si>
  <si>
    <t>Program zagospodarowania wnętrz międzyblokowych i placów zabaw</t>
  </si>
  <si>
    <t>DNR</t>
  </si>
  <si>
    <t>2016
2017</t>
  </si>
  <si>
    <t>ZIM
ZZK</t>
  </si>
  <si>
    <t>Wrocławski Budżet Obywatelski</t>
  </si>
  <si>
    <t>ZZK
WM</t>
  </si>
  <si>
    <t xml:space="preserve">            DZIAŁALNOŚĆ USŁUGOWA</t>
  </si>
  <si>
    <t xml:space="preserve">Program modernizacji cmentarzy komunalnych </t>
  </si>
  <si>
    <t>ZCK</t>
  </si>
  <si>
    <t>2007
2021</t>
  </si>
  <si>
    <t>Prace przygotowawcze i zadania towarzyszące inwestycjom infrastrukturalnym</t>
  </si>
  <si>
    <t>ZIM
BFS
ZDiUM</t>
  </si>
  <si>
    <t>Program rozwoju terenów pod aktywność gospodarczą</t>
  </si>
  <si>
    <t>Spółka WI
ZDiUM</t>
  </si>
  <si>
    <t>Środki pozostałe - MPWiK, Energia Pro</t>
  </si>
  <si>
    <t>Podniesienie dostępności e-usług danych przestrzennych państwowego zasobu geodezyjnego i kartograficznego we Wrocławiu</t>
  </si>
  <si>
    <t>ZGiKM</t>
  </si>
  <si>
    <t>2018
2019</t>
  </si>
  <si>
    <t xml:space="preserve">Budowa nowego cmentarza przy ul.Awicenny - I etap </t>
  </si>
  <si>
    <t>ZIM</t>
  </si>
  <si>
    <t xml:space="preserve">           ADMINISTRACJA PUBLICZNA </t>
  </si>
  <si>
    <t xml:space="preserve">E- administracja </t>
  </si>
  <si>
    <t xml:space="preserve">System Gospodarowania Nieruchomościami w Gminie Wrocław </t>
  </si>
  <si>
    <t xml:space="preserve">Rozbudowa Systemu Informacji Przestrzennej </t>
  </si>
  <si>
    <t xml:space="preserve">Środki pozostałe </t>
  </si>
  <si>
    <t>Rozbudowa budynku Urzędu Miejskiego Wrocławia przy ul. G. Zapolskiej 2/4, Bogusławskiego, Świdnickiej</t>
  </si>
  <si>
    <t>WOU</t>
  </si>
  <si>
    <t>Open Data Wrocław</t>
  </si>
  <si>
    <t xml:space="preserve">Wrocławska Platforma Informacyjno - Płatnicza </t>
  </si>
  <si>
    <t>Wrocławska Mobilna Karta Miejska</t>
  </si>
  <si>
    <t>System wspierający  windykacyję w Gminie Wrocław</t>
  </si>
  <si>
    <t>Wdrożenie systemu klasy ERP w Gminie Wrocław  etap I</t>
  </si>
  <si>
    <t>System wspierający  NGO we  Wrocławiu</t>
  </si>
  <si>
    <t>Kompleksowa modernizacja budynku użyteczności publicznej zlokalizowanego przy ul. Hubskiej 8-16 we Wrocławiu</t>
  </si>
  <si>
    <t>WI</t>
  </si>
  <si>
    <t xml:space="preserve">Przebudowa Sali nr 215 w budynku Urzędu Miejskiego przy pl.Nowy Targ 1-8 we Wrocławia </t>
  </si>
  <si>
    <t xml:space="preserve">            BEZPIECZEŃSTWO PUBLICZNE I OCHRONA  PRZECIWPOŻAROWA </t>
  </si>
  <si>
    <t>Modernizacja i rozbudowa cyfrowej łączności radiowej TETRA</t>
  </si>
  <si>
    <t>WBZ</t>
  </si>
  <si>
    <t>Budowa Jednostki Ratowniczo-Gaśniczej PSP przy ul. Kosmonautów</t>
  </si>
  <si>
    <t>2010
2012</t>
  </si>
  <si>
    <t>Monitoring prewencyjny Wrocławia</t>
  </si>
  <si>
    <t xml:space="preserve">            OŚWIATA I WYCHOWANIE </t>
  </si>
  <si>
    <t>ZIM
WPP</t>
  </si>
  <si>
    <t>2006
2023</t>
  </si>
  <si>
    <t xml:space="preserve">Rozbudowa przedszkola w Zespole Szkolno - Przedszkolnym nr 12 przy ul.Suwalskiej we Wrocławiu </t>
  </si>
  <si>
    <t>ZIM
WZF</t>
  </si>
  <si>
    <t xml:space="preserve">Rozbudowa przedszkola nr 10 o nowy budynek przy ul.Piotrkowskiej we Wrocławiu </t>
  </si>
  <si>
    <t xml:space="preserve">Poprawa jakości kształcenia w LO nr XV we Wrocławiu poprzez zakup wyposażenia pracowni fizycznej i 4 pracowni cyfrowych </t>
  </si>
  <si>
    <t>LO nr XV
WZF</t>
  </si>
  <si>
    <t xml:space="preserve">Wyposażenie pracowni w Liceum Ogólnokształcącym nr V we Wrocławiu </t>
  </si>
  <si>
    <t>LO nr V
WZF</t>
  </si>
  <si>
    <t xml:space="preserve">Wyposażenie w nowoczesny sprzęt i materiały dydaktyczne pracowni fizycznej i biologicznej w LO nr III we Wrocławiu </t>
  </si>
  <si>
    <t>LO nr III
WZF</t>
  </si>
  <si>
    <t xml:space="preserve">Termomodernizacja obiektów oświatowych: Gimnazjum nr 3, Zespół Szkolno - Przedszkolny nr 14 (SP24), Zespół Szkolno - Przedszkolny nr 1 we Wrocławiu </t>
  </si>
  <si>
    <t>Termomodernizacja obiektów oświatowych: Gimnazjum nr 7, Gimnazjum nr 14, Szkoła Podstawowa nr 82 we Wrocławiu</t>
  </si>
  <si>
    <t>ZIM
WGP</t>
  </si>
  <si>
    <t xml:space="preserve">Budowa i przebudowa infrastruktury sportowej w obiektach oświatowych </t>
  </si>
  <si>
    <t>2006
2022</t>
  </si>
  <si>
    <t>Wyposażenie szkół w pracownie fizyczne, chemiczne i biologiczne - EIT+</t>
  </si>
  <si>
    <t>WGP</t>
  </si>
  <si>
    <t>2007
2015</t>
  </si>
  <si>
    <t xml:space="preserve">Przebudowa pomieszczeń warsztatowych na potrzeby kształcenia praktycznego w Zespole Szkół nr 2 przy ul. Borowskiej we Wrocławiu </t>
  </si>
  <si>
    <t>Budowa hali pod samochód ciężarowy na potrzeby kształcenia praktycznego z Zespole Szkół nr 2 przy ul. Borowskiej 105 we Wrocławiu</t>
  </si>
  <si>
    <t>Wyposażenie wrocławskich szkół w pracownie przedmiotowe</t>
  </si>
  <si>
    <t>Edukacja i partnerstwo bez barier</t>
  </si>
  <si>
    <t>Predszkole nr 10
ZSP nr 12
WPP</t>
  </si>
  <si>
    <t>Przebudowa budynku B wraz z wyposażeniem w Centrum Kształcenia Praktycznego przy ul.Strzegomskiej 49a we Wrocławiu</t>
  </si>
  <si>
    <t>ZIM
CKP
WZF</t>
  </si>
  <si>
    <t>ZDiUM 
ZZM
ZZK</t>
  </si>
  <si>
    <t xml:space="preserve">          OCHRONA ZDROWIA</t>
  </si>
  <si>
    <t xml:space="preserve">Przebudowa pomieszczeń na potrzeby  centrum Neuropsychiatrii Neuromed </t>
  </si>
  <si>
    <t>ZIM
WZD</t>
  </si>
  <si>
    <t>Przebudowa obiektu przy ul.Lindego 19-21 we Wrocławiu na cele prowadzenia Przychodni Zdrowia Psychicznego I Terapii Uzależnienień</t>
  </si>
  <si>
    <t>2015
2016</t>
  </si>
  <si>
    <t xml:space="preserve">Przebudowa i rozbudowa przychodni przy ul.Stalowej 50 na cele prowadzenia Ośrodka Rehabilitacji Dzieci z Porażeniem Mózgowym, rehabilitacji dorosłych oraz Poradni dla Dzieci z Autyzmem </t>
  </si>
  <si>
    <t xml:space="preserve">            POMOC SPOŁECZNA</t>
  </si>
  <si>
    <t xml:space="preserve">Program Przebudowy Centrów Usług Socjalnych we Wrocławiu </t>
  </si>
  <si>
    <t>MCUS
ZIM</t>
  </si>
  <si>
    <t>Program Przebudowy obiektów na potrzeby MOPS</t>
  </si>
  <si>
    <t>DSS
ZIM
MOPS</t>
  </si>
  <si>
    <t>2013
2020</t>
  </si>
  <si>
    <t>Komputeryzacja Ośrodków Pomocy Społecznej</t>
  </si>
  <si>
    <t>MOPS</t>
  </si>
  <si>
    <t xml:space="preserve">            RODZINA</t>
  </si>
  <si>
    <t>Program budowy i przebudowy żłobków</t>
  </si>
  <si>
    <t xml:space="preserve">            POZOSTAŁE ZADANIA W ZAKRESIE POLITYKI SPOŁECZNEJ </t>
  </si>
  <si>
    <t>Przebudowa pomieszczeń w budynku przy ul. Glinianej 20-22 z przeznaczeniem dla Powiatowego Urzędu Pracy.</t>
  </si>
  <si>
    <t>E-usługi  dla mieszkańców Wrocławia wspierające prowadzenie  konsultacji społecznych</t>
  </si>
  <si>
    <t>BPS
WZF</t>
  </si>
  <si>
    <t xml:space="preserve">Utworzenie infrastruktury na potrzeby społeczne </t>
  </si>
  <si>
    <t xml:space="preserve">           GOSPODARKA KOMUNALNA I OCHRONA ŚRODOWISKA </t>
  </si>
  <si>
    <t>Program poprawy jakości wody we Wrocławiu /FS/</t>
  </si>
  <si>
    <t>WZF</t>
  </si>
  <si>
    <t>2002
2017</t>
  </si>
  <si>
    <t>Środki pozostałe - MPWiK, EBOR</t>
  </si>
  <si>
    <t>Program modernizacji systemu odwodnienia Miasta</t>
  </si>
  <si>
    <t>2007
2019</t>
  </si>
  <si>
    <t>Rozbudowa infrastruktury sieciowej i drogowej w północnych osiedlach Wrocławia - udział Miasta</t>
  </si>
  <si>
    <t>ZIM
CUI
ZDiUM
DIG
WicePrezydent</t>
  </si>
  <si>
    <t>Realizacja Programu Rozwoju Usług Gospodarki Odpadami /FS/</t>
  </si>
  <si>
    <t>2001
2016</t>
  </si>
  <si>
    <t>Środki pozostałe - EBOR</t>
  </si>
  <si>
    <t xml:space="preserve">Program rewitalizacji zieleni, nabrzeży i wysp odrzańskich </t>
  </si>
  <si>
    <t>ZIM 
 ZDiUM 
 ZZM
WKL</t>
  </si>
  <si>
    <t xml:space="preserve">Rewaloryzacja Parku Szczytnickiego </t>
  </si>
  <si>
    <t>ZZM</t>
  </si>
  <si>
    <t xml:space="preserve">Rewitalizacja kościółka p.w. św.Jana Nepomucena wraz z zagospodarowaniem przylegającego terenu w Parku Szczytnickim we Wrocławiu </t>
  </si>
  <si>
    <t>Grow Green - Zielone miasta na rzecz klimatu, wody, zrównoważonego rozwoju gospodarczego, zdrowych mieszkańców i środowisk</t>
  </si>
  <si>
    <t xml:space="preserve">Program likwidacji niskiej emisji na terenie Wrocława </t>
  </si>
  <si>
    <t>WSR</t>
  </si>
  <si>
    <t>2014
2018</t>
  </si>
  <si>
    <t>Program likwidacji niskiej emisji na terenie Wrocława- część II</t>
  </si>
  <si>
    <t>Budowa i przebudowa oświetlenia ulic i miejsc niebezpiecznych</t>
  </si>
  <si>
    <t>ZDiUM
ZIM
ZZM</t>
  </si>
  <si>
    <t xml:space="preserve">Zagospodarowanie Parku Milenijnego </t>
  </si>
  <si>
    <t xml:space="preserve">Rewitalizacja Bulwaru Xawerego Dunikowskiego we Wrocławiu </t>
  </si>
  <si>
    <t>2009
2016</t>
  </si>
  <si>
    <t>Środki pozostałe - Energia Pro</t>
  </si>
  <si>
    <t xml:space="preserve">           KULTURA I OCHRONA DZIEDZICTWA NARODOWEGO </t>
  </si>
  <si>
    <t>Budowa Narodowego Forum Muzyki we Wrocławiu</t>
  </si>
  <si>
    <t>WKL
Spółka WI
NFM</t>
  </si>
  <si>
    <t>2004
2019</t>
  </si>
  <si>
    <t>Przebudowa i modernizacja Wrocławskiego Klubu Formaty</t>
  </si>
  <si>
    <t>ZIM
FORMATY</t>
  </si>
  <si>
    <t>Centrum Historii ZAJEZDNIA We Wrocławiu</t>
  </si>
  <si>
    <t>ZIM
OPiP
WZF
WKL
DIG</t>
  </si>
  <si>
    <t>Przebudowa dawnego Baru Barbara na nowa siedzibę Biura Festiwalowego Impart 2016</t>
  </si>
  <si>
    <t>ZIM
IMPART</t>
  </si>
  <si>
    <t>ZIM
MMW</t>
  </si>
  <si>
    <t>2014
2017</t>
  </si>
  <si>
    <t>Modernizacja wystaw stałych w muzeach Wrocławia</t>
  </si>
  <si>
    <t>WKL
MMW</t>
  </si>
  <si>
    <t>Rewaloryzacja Zespołu Zabytkowych pomieszczeń Synagogi pod Białym Bocianem w ramach programu ścieżek kulturowych czterech świątyń</t>
  </si>
  <si>
    <t>MKZ
WKL</t>
  </si>
  <si>
    <t xml:space="preserve">Centrum Kultury i Centrum Biblioteczne na Psim Polu </t>
  </si>
  <si>
    <t>ZIM
WKL
MBP</t>
  </si>
  <si>
    <t>Rewitalizacja wnętrza kościoła p.w.św. Elżbiety we Wrocławiu poprzez rekonstrukcję organów Michaela Englera</t>
  </si>
  <si>
    <t>2012
2022</t>
  </si>
  <si>
    <t xml:space="preserve">Rozwój działalności artystycznej i edukacyjnej Muzeum Współczesnego Wrocławia </t>
  </si>
  <si>
    <t>MWW</t>
  </si>
  <si>
    <t>ZIM
WTW</t>
  </si>
  <si>
    <t xml:space="preserve">Rewitalizacja części zabytkowej zajezdni tramwajowej przy ul.Legnickiej we Wrocławiu  </t>
  </si>
  <si>
    <t>Ruska 46 abc - przestrzeń dla kultury</t>
  </si>
  <si>
    <t>Adaptacja pomieszczeń na pierwszym piętrze Dworca Głównego PKP dla funkcji wystawienniczych i biblioteki</t>
  </si>
  <si>
    <t xml:space="preserve">           KULTURA FIZYCZNA I SPORT </t>
  </si>
  <si>
    <t>Budowa boisk piłkarskich o sztucznych nawierzchniach</t>
  </si>
  <si>
    <t xml:space="preserve"> ZIM
MCS</t>
  </si>
  <si>
    <t>Przygotowanie infrastruktury sportowej w związku z World Games wraz z renowacją Stadionu Olimpijskiego</t>
  </si>
  <si>
    <t xml:space="preserve">Przebudowa budynku stacji uzdatniania wody wraz z wymianą stacji na terenie krytego basenu przy ul. Racławickiej </t>
  </si>
  <si>
    <t>MCS
ZIM</t>
  </si>
  <si>
    <t>Program przebudowy miejskich obiektów sportowych</t>
  </si>
  <si>
    <t>MCS
ZIM
BSR</t>
  </si>
  <si>
    <t>DSS</t>
  </si>
  <si>
    <t xml:space="preserve">Rozbudowa infrastruktury rekreacyjnej na terenie WTWK Partynice </t>
  </si>
  <si>
    <t>NFOŚ</t>
  </si>
  <si>
    <t xml:space="preserve">PODSUMOWANIE </t>
  </si>
  <si>
    <t>ŁĄCZNIE W SEKTORACH</t>
  </si>
  <si>
    <t xml:space="preserve">TRANSPORT I ŁĄCZNOŚĆ </t>
  </si>
  <si>
    <t>GOSPODARKA MIESZKANIOWA</t>
  </si>
  <si>
    <t>DZIAŁALNOŚĆ USŁUGOWA</t>
  </si>
  <si>
    <t>ADMINISTRACJA PUBLICZNA</t>
  </si>
  <si>
    <t xml:space="preserve">BEZPIECZEŃSTWO PUBLICZNE I OCHRONA PRZECIWPOŻAROWA </t>
  </si>
  <si>
    <t xml:space="preserve">OŚWIATA I WYCHOWANIE </t>
  </si>
  <si>
    <t xml:space="preserve">OCHRONA ZDROWIA </t>
  </si>
  <si>
    <t xml:space="preserve">POMOC SPOŁECZNA  </t>
  </si>
  <si>
    <t>RODZINA</t>
  </si>
  <si>
    <t xml:space="preserve">POZOSTAŁE ZADANIA W ZAKRESIE POLITYKI SPOŁECZNEJ </t>
  </si>
  <si>
    <t xml:space="preserve">GOSPODARKA KOMUNALNA I OCHRONA ŚRODOWISKA  </t>
  </si>
  <si>
    <t xml:space="preserve">KULTURA I OCHRONA DZIEDZICTWA NARODOWEGO  </t>
  </si>
  <si>
    <t xml:space="preserve">KULTURA FIZYCZNA I SPORT </t>
  </si>
  <si>
    <t>GFOŚ, WFOŚ, NFOŚ</t>
  </si>
  <si>
    <t>ZZK</t>
  </si>
  <si>
    <t>ZDiUM
Spółka WI
WZF
ZTS
ZIM
ZOJM
ZGKiKM
BZM</t>
  </si>
  <si>
    <t>ZZK
WZF
MOPS</t>
  </si>
  <si>
    <t>Remont i przebudowa wraz z wyposażeniem trzech mieszkań o charakterze wspomagającym we Wrocławiu</t>
  </si>
  <si>
    <t>Modernizacja siedziby wrocławskiego Teatru Współczesnego -  udział Miasta</t>
  </si>
  <si>
    <t>Kompleksowa termomodernizacja wybranych kamienic przy ul. Brzeskiej ,ul. S.Chudoby i ul. I.Prądzyńskiego we Wrocławiu</t>
  </si>
  <si>
    <t>Kompleksowa termomodernizacja wybranych wielorodzinnych budynków mieszkalnych przy ul. Pobożnego we Wrocławiu</t>
  </si>
  <si>
    <t>Kompleksowa termomodernizacja wybranych wielorodzinnych budynków mieszkalnych przy ul. Biskupa Tomasza I i ul. Mieleckiej we Wrocławiu</t>
  </si>
  <si>
    <t>Kompleksowa termomodernizacja wybranych wielorodzinnych budynków mieszkalnych przy ul. Wyszyńskiego i ul. Kurkowej we Wrocławiu</t>
  </si>
  <si>
    <t>Budowa systemu "Parkuj i Jedź" we Wrocławiu-Etap II</t>
  </si>
  <si>
    <t>Spółka WI
BPM
WZF
ZTS
ZDIUM</t>
  </si>
  <si>
    <t>Odra Centrum - budujemy tożsamość Odrzan - Budowa modelowego, niskoemisyjnego obiektu pływającego dla rozwoju edukacji, turystyki i przedsiębiorczości</t>
  </si>
  <si>
    <t xml:space="preserve">BPS
</t>
  </si>
  <si>
    <t>WTWK
DIG</t>
  </si>
  <si>
    <t>2015
2022</t>
  </si>
  <si>
    <t>2017
2020</t>
  </si>
  <si>
    <t>Remont i przebudowa wraz z wyposażeniem czterech mieszkań o charakterze wspomagajacycm we Wrocławiu</t>
  </si>
  <si>
    <t>Rozbudowa infrastruktury rekreacyjnej na terenie WTWK-Partynice we Wrocławiu-Etap I- budowa parku linearnego wokół toru wyścigowego wraz z przyrodniczą ścieżka edukacyjną</t>
  </si>
  <si>
    <t>Podłączenie budynków gminnych do miejskiej sieci kanalizacyjnej</t>
  </si>
  <si>
    <t>Przebudowa lokalu przy yl. Traugutta 119 we Wrocławiu na placówkę leczenia uzależnień</t>
  </si>
  <si>
    <t>Wice Prezydent</t>
  </si>
  <si>
    <t>Aranżacja przestrzeni Starej Piekarni oraz jej sceniczne wyposażenie celem powołania Centrum Sztuk Performatywnych-udział Miasta</t>
  </si>
  <si>
    <t>Instytut Grotowskiego</t>
  </si>
  <si>
    <t>Program likwidacji niskiej emisji na terenie Wrocława- część III</t>
  </si>
  <si>
    <t xml:space="preserve">DSS
ZIM
ZZK
MCUS
MOPS
WZF
WCI
</t>
  </si>
  <si>
    <t>Budowa wydzielonej trasy autobusowo - tramwajowej łączącej osiedle Nowy Dwór z Centrum Wrocławia</t>
  </si>
  <si>
    <t>Adaptacja pomieszczeń i zakup wyposażenia na potrzeby Muzeum Teatru we Wrocławiu</t>
  </si>
  <si>
    <t>Przebudowy i modernizacje w obiektach Urzędu Miejskiego Wrocławia</t>
  </si>
  <si>
    <t>Wyposażenie gabinetów dentystycznych w specjalistyczny sprzęt stomatologiczny</t>
  </si>
  <si>
    <t>WZD</t>
  </si>
  <si>
    <t>ZZM
WCRS</t>
  </si>
  <si>
    <t>ZIM
WZF
ZS nr 2</t>
  </si>
  <si>
    <t>Spółka WI
BPM
BPM
WZF
ZTS
ZDIUM</t>
  </si>
  <si>
    <t>Spółka WI
ZTS
BZM
DZR</t>
  </si>
  <si>
    <t>Interdyscyplinarna siódemka - program rozwoju kompetencji kluczowych w siedmiu wrocławskich szkołach podstawowych</t>
  </si>
  <si>
    <t xml:space="preserve">WPP </t>
  </si>
  <si>
    <t>WI
WOU</t>
  </si>
  <si>
    <t>BRD</t>
  </si>
  <si>
    <t>CUI
WZF</t>
  </si>
  <si>
    <t xml:space="preserve">
CUI
WZF</t>
  </si>
  <si>
    <t>DZR
BZM</t>
  </si>
  <si>
    <t>ZIM
WZZ
MBP</t>
  </si>
  <si>
    <t>ZIM
MCS</t>
  </si>
  <si>
    <t>2008
2020</t>
  </si>
  <si>
    <t>2006
2017</t>
  </si>
  <si>
    <t>2011
2017</t>
  </si>
  <si>
    <t>BPK
DZR</t>
  </si>
  <si>
    <t xml:space="preserve">Program udostepnienia lokali gminnych na Przedmieściu Oławskim we Wrocławiu      </t>
  </si>
  <si>
    <t xml:space="preserve">Utworzenie wielofunkcyjnych miejsc aktywności społeczności lokalnej na Przedmieściu Oławskim we Wrocławiu  </t>
  </si>
  <si>
    <t xml:space="preserve">Program zagospodarowania terenów nabrzeży rzeki Oławy we Wrocławiu  </t>
  </si>
  <si>
    <t xml:space="preserve"> Zagospodarowanie wnętrza podwórzowego w obrębie ulic: Kniaziewicza, Dąbrowskiego, Komuny Paryskiej, Pułaskiego oraz Świstackiego, Więckowskiego, Kościuszki, Brzeskiej we Wrocławiu</t>
  </si>
  <si>
    <t>Zagospodarowanie wnętrza podwórzowego w obrębie ulic: Łokietka, pl.Św.Macieja, Pobożnego, Niemcewicza, Jedności Narodowej, Drobnera we Wrocławiu</t>
  </si>
  <si>
    <t xml:space="preserve">Zagospodarowanie wnętrza podwórzowego w obrębie ulic: Pułaskiego, Kościuszki, Prądzyńskiego oraz Traugutta, Komuny Paryskiej, Prądzyńskiego we Wrocławiu </t>
  </si>
  <si>
    <t xml:space="preserve">DSS </t>
  </si>
  <si>
    <t>WicePrezydent</t>
  </si>
  <si>
    <t>WPP
ZSP nr 10,11,19,3
SP nr 3,8,20,85
WZF,CKP</t>
  </si>
  <si>
    <t xml:space="preserve">Utworzenie Dziennego Domu Pomocy i Klubu Integracji Społecznej przy ul.Skoczylasa 8 oraz Wrocławskiego Centrum Integracji przy ul.Strzegomskiej 49 we Wrocławiu </t>
  </si>
  <si>
    <t xml:space="preserve">Utworzenie dziennych domów pomocy przy ul.Semaforowej 5 oraz Karmelkowej 25 we Wrocławiu </t>
  </si>
  <si>
    <t>MCUS
ZIM
WCI
WZF</t>
  </si>
  <si>
    <t>ZIM
ZSL
WGP
WPP
ZSL</t>
  </si>
  <si>
    <t>Przebudowa ulic w ciągu drogi wojewódzkiej nr 342 (Obornicka, Pęgowska, Zajączkowska ,Pełczyńska)</t>
  </si>
  <si>
    <t>MCUS
ZIM
WZF</t>
  </si>
  <si>
    <t xml:space="preserve">Budowa i kompleksowa przebudowa szkół podstawowych </t>
  </si>
  <si>
    <t xml:space="preserve">Budowa i kompleksowa przebudowa przedszkoli </t>
  </si>
  <si>
    <t xml:space="preserve">Budowa i kompleksowa przebudowa gimnazjów </t>
  </si>
  <si>
    <t>Rewaloryzacja Bastionu Sakwowego -etap I</t>
  </si>
  <si>
    <t>2019
2021</t>
  </si>
  <si>
    <t xml:space="preserve">Rewitalizacja linii kolejowej nr 292 na odcinku Jelcz Miłoszyce - Wrocław Sołtysowice w celu przywrócenia przewozów we WrOF - zakres Gimny Wrocław </t>
  </si>
  <si>
    <t>2021
2023</t>
  </si>
  <si>
    <t>2016
2023</t>
  </si>
  <si>
    <t xml:space="preserve">Program rewitalizacji komunalnego zasobu mieszkaniowego </t>
  </si>
  <si>
    <t>2009
2023</t>
  </si>
  <si>
    <t>2005
2018</t>
  </si>
  <si>
    <t>2007
2018</t>
  </si>
  <si>
    <t>2007
2024</t>
  </si>
  <si>
    <t>2006                    2020</t>
  </si>
  <si>
    <t>2004
2023</t>
  </si>
  <si>
    <t>2013
2023</t>
  </si>
  <si>
    <t>Budowa i kompleksowa przebudowa szkół ponadpodstawowe</t>
  </si>
  <si>
    <t>Mój drugi dom-zapewnienie wsparcia dla osób niesamodzielnych w dziennych domach pomocy we Wrocłaoiw</t>
  </si>
  <si>
    <t>MCUS</t>
  </si>
  <si>
    <t>2019
2020</t>
  </si>
  <si>
    <t>2007
2023</t>
  </si>
  <si>
    <t>WOU
ZIM
ZZK</t>
  </si>
  <si>
    <t>2005
2022</t>
  </si>
  <si>
    <t>2016
2021</t>
  </si>
  <si>
    <t>2010
2021</t>
  </si>
  <si>
    <t>2000
2023</t>
  </si>
  <si>
    <t>2008
2024</t>
  </si>
  <si>
    <t>2008
2023</t>
  </si>
  <si>
    <t>2015
2023</t>
  </si>
  <si>
    <t xml:space="preserve">ZZK
Wice Prezyd.
WSS
</t>
  </si>
  <si>
    <t xml:space="preserve">WSS
ZZK
BWA
IMPART
Wrocławscy Kameraliści
OKP
SKW
</t>
  </si>
  <si>
    <t>WSS
ZZK
DNR</t>
  </si>
  <si>
    <t xml:space="preserve">ZIM
DNR
WSS
</t>
  </si>
  <si>
    <t>2018
2021</t>
  </si>
  <si>
    <t>Inwestycje w edukację ponadpodstawową w wybranych placówkach na terenie Wrocławia</t>
  </si>
  <si>
    <t xml:space="preserve">Poprawa warunków kształcenia w wybranych wrocławskich szkołach ponadpodstawowych </t>
  </si>
  <si>
    <t>2020
2021</t>
  </si>
  <si>
    <t>LZN</t>
  </si>
  <si>
    <t>LO nr 15</t>
  </si>
  <si>
    <t>ZDiUM 
BZM
Spółka WI
ZIM
ZZM
WIM</t>
  </si>
  <si>
    <t>DNR
ZZK
ZIM
WSS</t>
  </si>
  <si>
    <t>ZDIUM
WBZ
CUI</t>
  </si>
  <si>
    <t xml:space="preserve">Wykonanie prac rewitalizacyjnych wybranych kamienic gminnych przy ul.Komuny Paryskiej, ul. T.Kościuszki, ul.I.Prądzyńskiego we Wrocławiu </t>
  </si>
  <si>
    <t xml:space="preserve">Zagospodarowanie wód opadowych na terenie miasta Wrocławia - etap I </t>
  </si>
  <si>
    <t>DZR</t>
  </si>
  <si>
    <t xml:space="preserve">ZIM
ZDIUM </t>
  </si>
  <si>
    <t>ZZM 
BWE</t>
  </si>
  <si>
    <t xml:space="preserve">ZDiUM
Spółka WI
</t>
  </si>
  <si>
    <t>2014
2024</t>
  </si>
  <si>
    <t>2017
2024</t>
  </si>
  <si>
    <t>2014
2022</t>
  </si>
  <si>
    <t>2018
2025</t>
  </si>
  <si>
    <t>2008
2021</t>
  </si>
  <si>
    <t>2008
2018</t>
  </si>
  <si>
    <t>Spółka WI
WIM</t>
  </si>
  <si>
    <t>Budowa szybu wraz z dostawą i montażem windy osobowej w budynku Urzędu Miejskiego Wrocławia przy pl. Nowy Targ 1-8</t>
  </si>
  <si>
    <t xml:space="preserve">Wielofunkcyjna hala sportowa przy ul.Racławickiej 62 we Wrocławiu </t>
  </si>
  <si>
    <t>2007
2020</t>
  </si>
  <si>
    <t>ZIM
BRD
ZZM</t>
  </si>
  <si>
    <t>Modernizacja elewacji obiektów Urzedu Miejskiego Wrocławia</t>
  </si>
  <si>
    <t>2019
2022</t>
  </si>
  <si>
    <t>Przebudowa lokalu użytkowego Piwnicy Świdnickiej w budynku Ratusza Staromiejskiego przy Sukiennicach 12-15 we Wrocławiu</t>
  </si>
  <si>
    <t>Budowa dróg rowerowych we Wrocławiu - etap II</t>
  </si>
  <si>
    <t>ZDiUM
DIT</t>
  </si>
  <si>
    <t xml:space="preserve">Wykonanie prac remontowych i termomodernizacyjnych nieruchomości przy ul.Mierniczej 10, 18, 24 we Wrocławiu </t>
  </si>
  <si>
    <t>Miejski program wymiany źródeł ogrzewania</t>
  </si>
  <si>
    <t>DNR
ZZK
WSR</t>
  </si>
  <si>
    <t>2020
2025</t>
  </si>
  <si>
    <t xml:space="preserve">ZIM
WSS
</t>
  </si>
  <si>
    <t xml:space="preserve">ZZK
DNR
WSS
</t>
  </si>
  <si>
    <t>2006
2025</t>
  </si>
  <si>
    <t>ZIM
DIT
ZDiUM
WNS</t>
  </si>
  <si>
    <t xml:space="preserve">Budowa hali lekkoatletycznej na Kłokoczycach - udział Miasta  </t>
  </si>
  <si>
    <t>BSR</t>
  </si>
  <si>
    <t>2019
2024</t>
  </si>
  <si>
    <t>2018
2023</t>
  </si>
  <si>
    <t>2017
2022</t>
  </si>
  <si>
    <t>2005                       2023</t>
  </si>
  <si>
    <t>2013
2027</t>
  </si>
  <si>
    <t>2014
2021</t>
  </si>
</sst>
</file>

<file path=xl/styles.xml><?xml version="1.0" encoding="utf-8"?>
<styleSheet xmlns="http://schemas.openxmlformats.org/spreadsheetml/2006/main">
  <numFmts count="1">
    <numFmt numFmtId="164" formatCode="#,##0.000"/>
  </numFmts>
  <fonts count="25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sz val="10"/>
      <name val="Arial"/>
      <family val="2"/>
      <charset val="238"/>
    </font>
    <font>
      <b/>
      <sz val="12"/>
      <name val="Arial CE"/>
    </font>
    <font>
      <b/>
      <sz val="8"/>
      <name val="Arial CE"/>
    </font>
    <font>
      <b/>
      <sz val="9"/>
      <name val="Arial CE"/>
    </font>
    <font>
      <b/>
      <i/>
      <sz val="8"/>
      <name val="Arial CE"/>
    </font>
    <font>
      <b/>
      <sz val="10"/>
      <name val="Arial CE"/>
    </font>
    <font>
      <sz val="11"/>
      <name val="Czcionka tekstu podstawowego"/>
      <family val="2"/>
      <charset val="238"/>
    </font>
    <font>
      <sz val="7"/>
      <name val="Arial CE"/>
    </font>
    <font>
      <b/>
      <sz val="8"/>
      <name val="Arial CE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charset val="238"/>
    </font>
    <font>
      <b/>
      <sz val="7"/>
      <name val="Arial CE"/>
      <charset val="238"/>
    </font>
    <font>
      <b/>
      <sz val="8"/>
      <color theme="1"/>
      <name val="Arial CE"/>
    </font>
    <font>
      <sz val="8"/>
      <color theme="1"/>
      <name val="Arial CE"/>
    </font>
    <font>
      <sz val="10"/>
      <color theme="1"/>
      <name val="Arial CE"/>
    </font>
    <font>
      <b/>
      <i/>
      <sz val="8"/>
      <color theme="1"/>
      <name val="Arial CE"/>
    </font>
    <font>
      <b/>
      <sz val="8"/>
      <color theme="1"/>
      <name val="Arial CE"/>
      <charset val="238"/>
    </font>
    <font>
      <sz val="8"/>
      <color theme="1"/>
      <name val="Arial"/>
      <family val="2"/>
      <charset val="238"/>
    </font>
    <font>
      <b/>
      <sz val="10"/>
      <color theme="1"/>
      <name val="Arial CE"/>
    </font>
    <font>
      <sz val="8"/>
      <color rgb="FFFF0000"/>
      <name val="Arial CE"/>
    </font>
    <font>
      <sz val="10"/>
      <color rgb="FFFF0000"/>
      <name val="Arial CE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18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3" fillId="6" borderId="1" xfId="0" applyFont="1" applyFill="1" applyBorder="1"/>
    <xf numFmtId="0" fontId="6" fillId="6" borderId="1" xfId="0" applyFont="1" applyFill="1" applyBorder="1"/>
    <xf numFmtId="3" fontId="3" fillId="6" borderId="1" xfId="0" applyNumberFormat="1" applyFont="1" applyFill="1" applyBorder="1"/>
    <xf numFmtId="0" fontId="3" fillId="5" borderId="1" xfId="0" applyFont="1" applyFill="1" applyBorder="1"/>
    <xf numFmtId="164" fontId="6" fillId="5" borderId="1" xfId="0" applyNumberFormat="1" applyFont="1" applyFill="1" applyBorder="1" applyAlignment="1">
      <alignment vertical="center" wrapText="1"/>
    </xf>
    <xf numFmtId="3" fontId="3" fillId="5" borderId="1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3" fontId="6" fillId="7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4" borderId="0" xfId="0" applyFont="1" applyFill="1"/>
    <xf numFmtId="164" fontId="6" fillId="7" borderId="1" xfId="0" applyNumberFormat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center"/>
    </xf>
    <xf numFmtId="3" fontId="6" fillId="7" borderId="1" xfId="0" applyNumberFormat="1" applyFont="1" applyFill="1" applyBorder="1" applyAlignment="1">
      <alignment vertical="center"/>
    </xf>
    <xf numFmtId="164" fontId="3" fillId="8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/>
    </xf>
    <xf numFmtId="164" fontId="6" fillId="7" borderId="1" xfId="0" applyNumberFormat="1" applyFont="1" applyFill="1" applyBorder="1" applyAlignment="1">
      <alignment vertical="center"/>
    </xf>
    <xf numFmtId="164" fontId="6" fillId="7" borderId="1" xfId="0" applyNumberFormat="1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vertical="center" wrapText="1"/>
    </xf>
    <xf numFmtId="3" fontId="3" fillId="8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8" borderId="1" xfId="0" applyNumberFormat="1" applyFont="1" applyFill="1" applyBorder="1"/>
    <xf numFmtId="1" fontId="6" fillId="3" borderId="1" xfId="0" applyNumberFormat="1" applyFont="1" applyFill="1" applyBorder="1" applyAlignment="1">
      <alignment horizontal="center" vertical="center" wrapText="1"/>
    </xf>
    <xf numFmtId="3" fontId="3" fillId="0" borderId="1" xfId="9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3" fillId="0" borderId="1" xfId="0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3" fillId="8" borderId="2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left" vertical="center"/>
    </xf>
    <xf numFmtId="0" fontId="12" fillId="7" borderId="1" xfId="0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vertical="center"/>
    </xf>
    <xf numFmtId="0" fontId="3" fillId="7" borderId="1" xfId="0" applyFont="1" applyFill="1" applyBorder="1"/>
    <xf numFmtId="3" fontId="3" fillId="7" borderId="1" xfId="0" applyNumberFormat="1" applyFont="1" applyFill="1" applyBorder="1"/>
    <xf numFmtId="49" fontId="6" fillId="7" borderId="1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left" vertical="center" wrapText="1"/>
    </xf>
    <xf numFmtId="164" fontId="8" fillId="5" borderId="4" xfId="0" applyNumberFormat="1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vertical="center" wrapText="1"/>
    </xf>
    <xf numFmtId="3" fontId="12" fillId="7" borderId="1" xfId="0" applyNumberFormat="1" applyFont="1" applyFill="1" applyBorder="1" applyAlignment="1">
      <alignment vertical="center"/>
    </xf>
    <xf numFmtId="164" fontId="12" fillId="7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Fill="1"/>
    <xf numFmtId="9" fontId="3" fillId="0" borderId="10" xfId="0" applyNumberFormat="1" applyFont="1" applyFill="1" applyBorder="1"/>
    <xf numFmtId="3" fontId="16" fillId="3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16" fillId="7" borderId="1" xfId="0" applyNumberFormat="1" applyFont="1" applyFill="1" applyBorder="1" applyAlignment="1">
      <alignment vertical="center"/>
    </xf>
    <xf numFmtId="3" fontId="17" fillId="8" borderId="1" xfId="0" applyNumberFormat="1" applyFont="1" applyFill="1" applyBorder="1" applyAlignment="1">
      <alignment vertical="center"/>
    </xf>
    <xf numFmtId="3" fontId="17" fillId="0" borderId="1" xfId="0" applyNumberFormat="1" applyFont="1" applyBorder="1"/>
    <xf numFmtId="3" fontId="17" fillId="8" borderId="1" xfId="0" applyNumberFormat="1" applyFont="1" applyFill="1" applyBorder="1"/>
    <xf numFmtId="3" fontId="17" fillId="0" borderId="1" xfId="0" applyNumberFormat="1" applyFont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/>
    <xf numFmtId="0" fontId="18" fillId="5" borderId="0" xfId="0" applyFont="1" applyFill="1"/>
    <xf numFmtId="3" fontId="16" fillId="7" borderId="1" xfId="0" applyNumberFormat="1" applyFont="1" applyFill="1" applyBorder="1" applyAlignment="1">
      <alignment horizontal="right" vertical="center"/>
    </xf>
    <xf numFmtId="164" fontId="19" fillId="5" borderId="3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left" vertical="center"/>
    </xf>
    <xf numFmtId="164" fontId="19" fillId="5" borderId="3" xfId="0" applyNumberFormat="1" applyFont="1" applyFill="1" applyBorder="1" applyAlignment="1">
      <alignment vertical="center" wrapText="1"/>
    </xf>
    <xf numFmtId="164" fontId="20" fillId="7" borderId="1" xfId="0" applyNumberFormat="1" applyFont="1" applyFill="1" applyBorder="1" applyAlignment="1">
      <alignment horizontal="left" vertical="center" wrapText="1"/>
    </xf>
    <xf numFmtId="3" fontId="12" fillId="7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3" fontId="21" fillId="0" borderId="1" xfId="10" applyNumberFormat="1" applyFont="1" applyFill="1" applyBorder="1" applyAlignment="1" applyProtection="1">
      <alignment horizontal="right" vertical="center" wrapText="1"/>
    </xf>
    <xf numFmtId="164" fontId="16" fillId="7" borderId="1" xfId="0" applyNumberFormat="1" applyFont="1" applyFill="1" applyBorder="1" applyAlignment="1">
      <alignment vertical="center" wrapText="1"/>
    </xf>
    <xf numFmtId="164" fontId="16" fillId="7" borderId="1" xfId="0" applyNumberFormat="1" applyFont="1" applyFill="1" applyBorder="1" applyAlignment="1">
      <alignment horizontal="left" vertical="center" wrapText="1"/>
    </xf>
    <xf numFmtId="9" fontId="3" fillId="0" borderId="0" xfId="0" applyNumberFormat="1" applyFont="1" applyFill="1" applyBorder="1"/>
    <xf numFmtId="0" fontId="10" fillId="0" borderId="0" xfId="0" applyFont="1" applyBorder="1"/>
    <xf numFmtId="3" fontId="3" fillId="0" borderId="0" xfId="0" applyNumberFormat="1" applyFont="1" applyBorder="1"/>
    <xf numFmtId="3" fontId="17" fillId="0" borderId="1" xfId="0" applyNumberFormat="1" applyFont="1" applyFill="1" applyBorder="1" applyAlignment="1">
      <alignment horizontal="right"/>
    </xf>
    <xf numFmtId="3" fontId="17" fillId="0" borderId="6" xfId="0" applyNumberFormat="1" applyFont="1" applyBorder="1" applyAlignment="1">
      <alignment vertical="center"/>
    </xf>
    <xf numFmtId="0" fontId="18" fillId="0" borderId="0" xfId="0" applyFont="1"/>
    <xf numFmtId="0" fontId="22" fillId="0" borderId="8" xfId="0" applyFont="1" applyBorder="1" applyAlignment="1">
      <alignment horizontal="center" vertical="center"/>
    </xf>
    <xf numFmtId="3" fontId="20" fillId="7" borderId="1" xfId="0" applyNumberFormat="1" applyFont="1" applyFill="1" applyBorder="1" applyAlignment="1">
      <alignment vertical="center"/>
    </xf>
    <xf numFmtId="3" fontId="20" fillId="7" borderId="1" xfId="0" applyNumberFormat="1" applyFont="1" applyFill="1" applyBorder="1"/>
    <xf numFmtId="0" fontId="7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0" fillId="9" borderId="0" xfId="0" applyFont="1" applyFill="1"/>
    <xf numFmtId="3" fontId="16" fillId="9" borderId="1" xfId="0" applyNumberFormat="1" applyFont="1" applyFill="1" applyBorder="1" applyAlignment="1">
      <alignment vertical="center"/>
    </xf>
    <xf numFmtId="3" fontId="17" fillId="9" borderId="1" xfId="0" applyNumberFormat="1" applyFont="1" applyFill="1" applyBorder="1" applyAlignment="1">
      <alignment vertical="center"/>
    </xf>
    <xf numFmtId="0" fontId="18" fillId="9" borderId="0" xfId="0" applyFont="1" applyFill="1"/>
    <xf numFmtId="164" fontId="19" fillId="9" borderId="3" xfId="0" applyNumberFormat="1" applyFont="1" applyFill="1" applyBorder="1" applyAlignment="1">
      <alignment horizontal="left" vertical="center" wrapText="1"/>
    </xf>
    <xf numFmtId="164" fontId="19" fillId="9" borderId="3" xfId="0" applyNumberFormat="1" applyFont="1" applyFill="1" applyBorder="1" applyAlignment="1">
      <alignment horizontal="left" vertical="center"/>
    </xf>
    <xf numFmtId="164" fontId="19" fillId="9" borderId="3" xfId="0" applyNumberFormat="1" applyFont="1" applyFill="1" applyBorder="1" applyAlignment="1">
      <alignment vertical="center" wrapText="1"/>
    </xf>
    <xf numFmtId="3" fontId="17" fillId="9" borderId="6" xfId="0" applyNumberFormat="1" applyFont="1" applyFill="1" applyBorder="1" applyAlignment="1">
      <alignment vertical="center"/>
    </xf>
    <xf numFmtId="0" fontId="22" fillId="9" borderId="8" xfId="0" applyFont="1" applyFill="1" applyBorder="1" applyAlignment="1">
      <alignment horizontal="center" vertical="center"/>
    </xf>
    <xf numFmtId="3" fontId="3" fillId="9" borderId="1" xfId="0" applyNumberFormat="1" applyFont="1" applyFill="1" applyBorder="1"/>
    <xf numFmtId="0" fontId="6" fillId="5" borderId="1" xfId="0" applyFont="1" applyFill="1" applyBorder="1"/>
    <xf numFmtId="3" fontId="23" fillId="0" borderId="1" xfId="0" applyNumberFormat="1" applyFont="1" applyBorder="1" applyAlignment="1">
      <alignment vertical="center"/>
    </xf>
    <xf numFmtId="3" fontId="16" fillId="7" borderId="1" xfId="0" applyNumberFormat="1" applyFont="1" applyFill="1" applyBorder="1"/>
    <xf numFmtId="164" fontId="12" fillId="7" borderId="1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right" vertical="center"/>
    </xf>
    <xf numFmtId="164" fontId="15" fillId="7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3" fontId="3" fillId="7" borderId="1" xfId="0" applyNumberFormat="1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vertical="center"/>
    </xf>
    <xf numFmtId="0" fontId="24" fillId="0" borderId="0" xfId="0" applyFont="1"/>
    <xf numFmtId="164" fontId="12" fillId="10" borderId="1" xfId="0" applyNumberFormat="1" applyFont="1" applyFill="1" applyBorder="1" applyAlignment="1">
      <alignment vertical="center" wrapText="1"/>
    </xf>
    <xf numFmtId="3" fontId="17" fillId="9" borderId="1" xfId="0" applyNumberFormat="1" applyFont="1" applyFill="1" applyBorder="1" applyAlignment="1"/>
    <xf numFmtId="0" fontId="2" fillId="0" borderId="0" xfId="0" applyFont="1" applyProtection="1">
      <protection hidden="1"/>
    </xf>
    <xf numFmtId="0" fontId="2" fillId="4" borderId="1" xfId="0" applyFont="1" applyFill="1" applyBorder="1" applyProtection="1"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Protection="1"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Border="1" applyAlignment="1" applyProtection="1">
      <alignment vertical="center"/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3" fontId="12" fillId="7" borderId="1" xfId="0" applyNumberFormat="1" applyFont="1" applyFill="1" applyBorder="1" applyAlignment="1" applyProtection="1">
      <alignment vertical="center"/>
      <protection hidden="1"/>
    </xf>
    <xf numFmtId="3" fontId="16" fillId="3" borderId="1" xfId="0" applyNumberFormat="1" applyFont="1" applyFill="1" applyBorder="1" applyAlignment="1" applyProtection="1">
      <alignment vertical="center"/>
      <protection hidden="1"/>
    </xf>
    <xf numFmtId="3" fontId="6" fillId="5" borderId="1" xfId="0" applyNumberFormat="1" applyFont="1" applyFill="1" applyBorder="1" applyAlignment="1" applyProtection="1">
      <alignment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3" fontId="14" fillId="3" borderId="1" xfId="0" applyNumberFormat="1" applyFont="1" applyFill="1" applyBorder="1" applyAlignment="1" applyProtection="1">
      <alignment vertical="center"/>
      <protection hidden="1"/>
    </xf>
    <xf numFmtId="3" fontId="3" fillId="0" borderId="7" xfId="0" applyNumberFormat="1" applyFont="1" applyBorder="1" applyAlignment="1" applyProtection="1">
      <alignment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3" fontId="3" fillId="6" borderId="1" xfId="0" applyNumberFormat="1" applyFont="1" applyFill="1" applyBorder="1" applyProtection="1">
      <protection hidden="1"/>
    </xf>
    <xf numFmtId="3" fontId="3" fillId="0" borderId="1" xfId="0" applyNumberFormat="1" applyFont="1" applyBorder="1" applyProtection="1">
      <protection hidden="1"/>
    </xf>
    <xf numFmtId="3" fontId="3" fillId="5" borderId="1" xfId="0" applyNumberFormat="1" applyFont="1" applyFill="1" applyBorder="1" applyProtection="1">
      <protection hidden="1"/>
    </xf>
    <xf numFmtId="0" fontId="10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3" fontId="17" fillId="0" borderId="1" xfId="0" applyNumberFormat="1" applyFont="1" applyBorder="1" applyAlignment="1" applyProtection="1">
      <alignment vertical="center"/>
      <protection hidden="1"/>
    </xf>
    <xf numFmtId="3" fontId="20" fillId="7" borderId="1" xfId="0" applyNumberFormat="1" applyFont="1" applyFill="1" applyBorder="1" applyAlignment="1" applyProtection="1">
      <alignment vertical="center"/>
      <protection hidden="1"/>
    </xf>
    <xf numFmtId="3" fontId="17" fillId="8" borderId="1" xfId="0" applyNumberFormat="1" applyFont="1" applyFill="1" applyBorder="1" applyProtection="1">
      <protection hidden="1"/>
    </xf>
    <xf numFmtId="3" fontId="17" fillId="0" borderId="1" xfId="0" applyNumberFormat="1" applyFont="1" applyBorder="1" applyAlignment="1" applyProtection="1">
      <alignment horizontal="right" vertical="center"/>
      <protection hidden="1"/>
    </xf>
    <xf numFmtId="3" fontId="17" fillId="0" borderId="1" xfId="0" applyNumberFormat="1" applyFont="1" applyFill="1" applyBorder="1" applyProtection="1">
      <protection hidden="1"/>
    </xf>
    <xf numFmtId="0" fontId="18" fillId="5" borderId="0" xfId="0" applyFont="1" applyFill="1" applyProtection="1">
      <protection hidden="1"/>
    </xf>
    <xf numFmtId="3" fontId="17" fillId="7" borderId="1" xfId="0" applyNumberFormat="1" applyFont="1" applyFill="1" applyBorder="1" applyAlignment="1" applyProtection="1">
      <alignment vertical="center"/>
      <protection hidden="1"/>
    </xf>
    <xf numFmtId="3" fontId="20" fillId="7" borderId="1" xfId="0" applyNumberFormat="1" applyFont="1" applyFill="1" applyBorder="1" applyProtection="1">
      <protection hidden="1"/>
    </xf>
    <xf numFmtId="164" fontId="19" fillId="5" borderId="3" xfId="0" applyNumberFormat="1" applyFont="1" applyFill="1" applyBorder="1" applyAlignment="1" applyProtection="1">
      <alignment horizontal="left" vertical="center" wrapText="1"/>
      <protection hidden="1"/>
    </xf>
    <xf numFmtId="164" fontId="19" fillId="5" borderId="3" xfId="0" applyNumberFormat="1" applyFont="1" applyFill="1" applyBorder="1" applyAlignment="1" applyProtection="1">
      <alignment horizontal="left" vertical="center"/>
      <protection hidden="1"/>
    </xf>
    <xf numFmtId="164" fontId="19" fillId="5" borderId="3" xfId="0" applyNumberFormat="1" applyFont="1" applyFill="1" applyBorder="1" applyAlignment="1" applyProtection="1">
      <alignment vertical="center" wrapText="1"/>
      <protection hidden="1"/>
    </xf>
    <xf numFmtId="3" fontId="17" fillId="0" borderId="6" xfId="0" applyNumberFormat="1" applyFont="1" applyBorder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/>
    <xf numFmtId="0" fontId="9" fillId="0" borderId="10" xfId="0" applyFont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</cellXfs>
  <cellStyles count="11">
    <cellStyle name="Normalny" xfId="0" builtinId="0"/>
    <cellStyle name="Normalny 2" xfId="1"/>
    <cellStyle name="Normalny 2 10" xfId="2"/>
    <cellStyle name="Normalny 3" xfId="3"/>
    <cellStyle name="Normalny 4" xfId="4"/>
    <cellStyle name="Normalny 5" xfId="5"/>
    <cellStyle name="Normalny 6" xfId="6"/>
    <cellStyle name="Normalny 7" xfId="7"/>
    <cellStyle name="Normalny 8" xfId="8"/>
    <cellStyle name="Normalny 9" xfId="9"/>
    <cellStyle name="Normalny_5.WPF_URM.XIII.237.11_7.07+autopop" xfId="1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zk7059\worek%20tomka\Korekta%20planu\Plan%202008%2021-11-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y"/>
      <sheetName val="Rejony plan08"/>
      <sheetName val="Zestawienie wg zaawansowania"/>
      <sheetName val="Plan 2008"/>
      <sheetName val="Niewygasające"/>
      <sheetName val="Zestawienie wg robót"/>
      <sheetName val="Ilość adresów  2008"/>
      <sheetName val="Harmonogram"/>
    </sheetNames>
    <sheetDataSet>
      <sheetData sheetId="0">
        <row r="2">
          <cell r="I2" t="str">
            <v>Brak realizacji</v>
          </cell>
          <cell r="M2" t="str">
            <v>O</v>
          </cell>
        </row>
        <row r="3">
          <cell r="I3" t="str">
            <v>Brak uchwały WM</v>
          </cell>
          <cell r="M3" t="str">
            <v>P</v>
          </cell>
        </row>
        <row r="4">
          <cell r="I4" t="str">
            <v>Na 2009 rok</v>
          </cell>
          <cell r="M4" t="str">
            <v>PR</v>
          </cell>
        </row>
        <row r="5">
          <cell r="I5" t="str">
            <v>Przetarg</v>
          </cell>
          <cell r="M5" t="str">
            <v>R</v>
          </cell>
        </row>
        <row r="6">
          <cell r="I6" t="str">
            <v>Rezygnacja WM</v>
          </cell>
        </row>
        <row r="7">
          <cell r="I7" t="str">
            <v>W trakcie realizacji</v>
          </cell>
        </row>
        <row r="8">
          <cell r="I8" t="str">
            <v>Wycofane</v>
          </cell>
        </row>
        <row r="9">
          <cell r="I9" t="str">
            <v>Zadanie wykonane i rozliczone</v>
          </cell>
        </row>
        <row r="10">
          <cell r="I10" t="str">
            <v>Zadanie wykonane i w trakcie rozliczenia</v>
          </cell>
        </row>
        <row r="11">
          <cell r="I11" t="str">
            <v>Zaliczka na poczet robót WM</v>
          </cell>
        </row>
        <row r="12">
          <cell r="I12" t="str">
            <v>Zwrot nadpłaty</v>
          </cell>
        </row>
        <row r="13">
          <cell r="I13" t="str">
            <v>Rezerwowe zadanie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L590"/>
  <sheetViews>
    <sheetView tabSelected="1" zoomScaleSheetLayoutView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O1" sqref="O1:AD1048576"/>
    </sheetView>
  </sheetViews>
  <sheetFormatPr defaultRowHeight="14.25"/>
  <cols>
    <col min="1" max="1" width="4.625" style="21" customWidth="1"/>
    <col min="2" max="2" width="37.375" style="21" customWidth="1"/>
    <col min="3" max="3" width="10.125" style="21" customWidth="1"/>
    <col min="4" max="4" width="8.875" style="21" customWidth="1"/>
    <col min="5" max="5" width="10.125" style="21" customWidth="1"/>
    <col min="6" max="6" width="9" style="21" customWidth="1"/>
    <col min="7" max="8" width="9" style="21" hidden="1" customWidth="1"/>
    <col min="9" max="9" width="9" style="21" customWidth="1"/>
    <col min="10" max="10" width="9" style="21" hidden="1" customWidth="1"/>
    <col min="11" max="15" width="9" style="21" customWidth="1"/>
    <col min="16" max="24" width="9" style="21" hidden="1" customWidth="1"/>
    <col min="25" max="25" width="8.25" style="21" hidden="1" customWidth="1"/>
    <col min="26" max="28" width="9" style="21" hidden="1" customWidth="1"/>
    <col min="29" max="29" width="9" style="159" hidden="1" customWidth="1"/>
    <col min="30" max="30" width="9" style="159" customWidth="1"/>
    <col min="31" max="31" width="4.875" style="21" customWidth="1"/>
    <col min="32" max="32" width="5.25" style="21" customWidth="1"/>
    <col min="33" max="33" width="5" style="21" customWidth="1"/>
    <col min="34" max="34" width="5.125" style="21" customWidth="1"/>
    <col min="35" max="35" width="10.25" style="21" customWidth="1"/>
    <col min="36" max="37" width="9" style="21" customWidth="1"/>
    <col min="38" max="38" width="10.5" style="21" customWidth="1"/>
    <col min="39" max="39" width="10" style="21" customWidth="1"/>
    <col min="40" max="40" width="10.375" style="21" customWidth="1"/>
    <col min="41" max="41" width="10.25" style="21" customWidth="1"/>
    <col min="42" max="42" width="11" style="21" customWidth="1"/>
    <col min="43" max="43" width="10.75" style="21" customWidth="1"/>
    <col min="44" max="44" width="11.125" style="21" customWidth="1"/>
    <col min="45" max="45" width="9.25" style="21" bestFit="1" customWidth="1"/>
    <col min="46" max="16384" width="9" style="21"/>
  </cols>
  <sheetData>
    <row r="1" spans="1:246" ht="38.25" customHeight="1">
      <c r="A1" s="1"/>
      <c r="B1" s="13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41"/>
      <c r="AD1" s="14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</row>
    <row r="2" spans="1:246" ht="15.75">
      <c r="A2" s="175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D2" s="14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</row>
    <row r="3" spans="1:246" ht="24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AD3" s="142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</row>
    <row r="4" spans="1:246" ht="24">
      <c r="A4" s="5"/>
      <c r="B4" s="5"/>
      <c r="C4" s="5"/>
      <c r="D4" s="5"/>
      <c r="E4" s="6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>
        <v>2014</v>
      </c>
      <c r="K4" s="4">
        <v>2015</v>
      </c>
      <c r="L4" s="4">
        <v>2016</v>
      </c>
      <c r="M4" s="4">
        <v>2017</v>
      </c>
      <c r="N4" s="4">
        <v>2018</v>
      </c>
      <c r="O4" s="4">
        <v>2019</v>
      </c>
      <c r="P4" s="4">
        <v>2020</v>
      </c>
      <c r="Q4" s="4">
        <v>2021</v>
      </c>
      <c r="R4" s="115" t="s">
        <v>11</v>
      </c>
      <c r="S4" s="4">
        <v>2022</v>
      </c>
      <c r="T4" s="4">
        <v>2023</v>
      </c>
      <c r="U4" s="4">
        <v>2024</v>
      </c>
      <c r="V4" s="4">
        <v>2025</v>
      </c>
      <c r="W4" s="4">
        <v>2026</v>
      </c>
      <c r="X4" s="4">
        <v>2027</v>
      </c>
      <c r="Y4" s="4">
        <v>2028</v>
      </c>
      <c r="Z4" s="4">
        <v>2029</v>
      </c>
      <c r="AA4" s="4">
        <v>2030</v>
      </c>
      <c r="AB4" s="4">
        <v>2031</v>
      </c>
      <c r="AC4" s="143">
        <v>2032</v>
      </c>
      <c r="AD4" s="143" t="s">
        <v>12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</row>
    <row r="5" spans="1:246">
      <c r="A5" s="7" t="s">
        <v>13</v>
      </c>
      <c r="B5" s="7" t="s">
        <v>14</v>
      </c>
      <c r="C5" s="7" t="s">
        <v>15</v>
      </c>
      <c r="D5" s="7" t="s">
        <v>16</v>
      </c>
      <c r="E5" s="6"/>
      <c r="F5" s="7" t="s">
        <v>17</v>
      </c>
      <c r="G5" s="7"/>
      <c r="H5" s="7" t="s">
        <v>17</v>
      </c>
      <c r="I5" s="7" t="s">
        <v>18</v>
      </c>
      <c r="J5" s="7" t="s">
        <v>19</v>
      </c>
      <c r="K5" s="7" t="s">
        <v>20</v>
      </c>
      <c r="L5" s="7" t="s">
        <v>21</v>
      </c>
      <c r="M5" s="7" t="s">
        <v>22</v>
      </c>
      <c r="N5" s="7" t="s">
        <v>23</v>
      </c>
      <c r="O5" s="7" t="s">
        <v>24</v>
      </c>
      <c r="P5" s="7" t="s">
        <v>25</v>
      </c>
      <c r="Q5" s="7" t="s">
        <v>26</v>
      </c>
      <c r="R5" s="116" t="s">
        <v>27</v>
      </c>
      <c r="S5" s="7"/>
      <c r="T5" s="7"/>
      <c r="U5" s="7"/>
      <c r="V5" s="7"/>
      <c r="W5" s="7"/>
      <c r="X5" s="7"/>
      <c r="Y5" s="7"/>
      <c r="Z5" s="7"/>
      <c r="AA5" s="7"/>
      <c r="AB5" s="7"/>
      <c r="AC5" s="144"/>
      <c r="AD5" s="144" t="s">
        <v>25</v>
      </c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</row>
    <row r="6" spans="1:246" ht="21.75" customHeight="1">
      <c r="A6" s="19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117"/>
      <c r="S6" s="22"/>
      <c r="T6" s="22"/>
      <c r="U6" s="22"/>
      <c r="V6" s="22"/>
      <c r="W6" s="22"/>
      <c r="X6" s="22"/>
      <c r="Y6" s="22"/>
      <c r="Z6" s="22"/>
      <c r="AA6" s="22"/>
      <c r="AB6" s="22"/>
      <c r="AC6" s="160"/>
      <c r="AD6" s="145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</row>
    <row r="7" spans="1:246" ht="36" customHeight="1">
      <c r="A7" s="20">
        <v>1</v>
      </c>
      <c r="B7" s="23" t="s">
        <v>29</v>
      </c>
      <c r="C7" s="24" t="s">
        <v>307</v>
      </c>
      <c r="D7" s="25" t="s">
        <v>30</v>
      </c>
      <c r="E7" s="26">
        <f>F8</f>
        <v>272017.13699999999</v>
      </c>
      <c r="F7" s="27">
        <f>F8+F9</f>
        <v>272485.13699999999</v>
      </c>
      <c r="G7" s="27">
        <f>G8+G9</f>
        <v>75377.472999999998</v>
      </c>
      <c r="H7" s="27">
        <f>H8+H9</f>
        <v>88290.877999999997</v>
      </c>
      <c r="I7" s="28">
        <f t="shared" ref="I7:I41" si="0">SUM(K7:O7)</f>
        <v>78742.566999999995</v>
      </c>
      <c r="J7" s="27">
        <f t="shared" ref="J7:Q7" si="1">J8+J9</f>
        <v>12913.405000000001</v>
      </c>
      <c r="K7" s="27">
        <f t="shared" si="1"/>
        <v>13837.707</v>
      </c>
      <c r="L7" s="27">
        <f t="shared" si="1"/>
        <v>15928.945</v>
      </c>
      <c r="M7" s="27">
        <f t="shared" si="1"/>
        <v>16590.965</v>
      </c>
      <c r="N7" s="85">
        <f t="shared" si="1"/>
        <v>15717.103999999999</v>
      </c>
      <c r="O7" s="85">
        <f t="shared" si="1"/>
        <v>16667.846000000001</v>
      </c>
      <c r="P7" s="85">
        <f t="shared" si="1"/>
        <v>18744.424999999999</v>
      </c>
      <c r="Q7" s="85">
        <f t="shared" si="1"/>
        <v>17486.849999999999</v>
      </c>
      <c r="R7" s="118">
        <f t="shared" ref="R7:R74" si="2">SUM(S7:AC7)</f>
        <v>69220.417000000001</v>
      </c>
      <c r="S7" s="85">
        <f>S8+S9</f>
        <v>18986.060000000001</v>
      </c>
      <c r="T7" s="85">
        <f t="shared" ref="T7:AC7" si="3">T8+T9</f>
        <v>18634.357</v>
      </c>
      <c r="U7" s="85">
        <f t="shared" si="3"/>
        <v>6320</v>
      </c>
      <c r="V7" s="85">
        <f t="shared" si="3"/>
        <v>6320</v>
      </c>
      <c r="W7" s="85">
        <f t="shared" si="3"/>
        <v>6320</v>
      </c>
      <c r="X7" s="85">
        <f t="shared" si="3"/>
        <v>6320</v>
      </c>
      <c r="Y7" s="85">
        <f t="shared" si="3"/>
        <v>6320</v>
      </c>
      <c r="Z7" s="85">
        <f t="shared" si="3"/>
        <v>0</v>
      </c>
      <c r="AA7" s="85">
        <f t="shared" si="3"/>
        <v>0</v>
      </c>
      <c r="AB7" s="85">
        <f t="shared" si="3"/>
        <v>0</v>
      </c>
      <c r="AC7" s="150">
        <f t="shared" si="3"/>
        <v>0</v>
      </c>
      <c r="AD7" s="146">
        <f>P7+Q7+R7</f>
        <v>105451.692</v>
      </c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</row>
    <row r="8" spans="1:246">
      <c r="A8" s="29"/>
      <c r="B8" s="10" t="s">
        <v>31</v>
      </c>
      <c r="C8" s="30"/>
      <c r="D8" s="31"/>
      <c r="E8" s="32"/>
      <c r="F8" s="33">
        <f>H8+I8+AD8</f>
        <v>272017.13699999999</v>
      </c>
      <c r="G8" s="34">
        <v>74909.472999999998</v>
      </c>
      <c r="H8" s="33">
        <v>87822.877999999997</v>
      </c>
      <c r="I8" s="33">
        <f t="shared" si="0"/>
        <v>78742.566999999995</v>
      </c>
      <c r="J8" s="33">
        <v>12913.405000000001</v>
      </c>
      <c r="K8" s="33">
        <v>13837.707</v>
      </c>
      <c r="L8" s="33">
        <v>15928.945</v>
      </c>
      <c r="M8" s="35">
        <v>16590.965</v>
      </c>
      <c r="N8" s="86">
        <v>15717.103999999999</v>
      </c>
      <c r="O8" s="87">
        <v>16667.846000000001</v>
      </c>
      <c r="P8" s="87">
        <v>18744.424999999999</v>
      </c>
      <c r="Q8" s="87">
        <v>17486.849999999999</v>
      </c>
      <c r="R8" s="119">
        <f t="shared" si="2"/>
        <v>69220.417000000001</v>
      </c>
      <c r="S8" s="87">
        <v>18986.060000000001</v>
      </c>
      <c r="T8" s="87">
        <v>18634.357</v>
      </c>
      <c r="U8" s="87">
        <v>6320</v>
      </c>
      <c r="V8" s="87">
        <v>6320</v>
      </c>
      <c r="W8" s="87">
        <v>6320</v>
      </c>
      <c r="X8" s="87">
        <v>6320</v>
      </c>
      <c r="Y8" s="87">
        <v>6320</v>
      </c>
      <c r="Z8" s="87">
        <v>0</v>
      </c>
      <c r="AA8" s="87">
        <v>0</v>
      </c>
      <c r="AB8" s="87">
        <v>0</v>
      </c>
      <c r="AC8" s="161">
        <v>0</v>
      </c>
      <c r="AD8" s="147">
        <f>P8+Q8+R8</f>
        <v>105451.692</v>
      </c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</row>
    <row r="9" spans="1:246">
      <c r="A9" s="29"/>
      <c r="B9" s="10" t="s">
        <v>32</v>
      </c>
      <c r="C9" s="30"/>
      <c r="D9" s="31"/>
      <c r="E9" s="32"/>
      <c r="F9" s="33">
        <f>H9+I9+AD9</f>
        <v>468</v>
      </c>
      <c r="G9" s="34">
        <v>468</v>
      </c>
      <c r="H9" s="33">
        <v>468</v>
      </c>
      <c r="I9" s="33">
        <f t="shared" si="0"/>
        <v>0</v>
      </c>
      <c r="J9" s="33">
        <v>0</v>
      </c>
      <c r="K9" s="33">
        <v>0</v>
      </c>
      <c r="L9" s="33">
        <v>0</v>
      </c>
      <c r="M9" s="33">
        <v>0</v>
      </c>
      <c r="N9" s="87">
        <v>0</v>
      </c>
      <c r="O9" s="87">
        <v>0</v>
      </c>
      <c r="P9" s="87">
        <v>0</v>
      </c>
      <c r="Q9" s="87">
        <v>0</v>
      </c>
      <c r="R9" s="119">
        <f t="shared" si="2"/>
        <v>0</v>
      </c>
      <c r="S9" s="87">
        <v>0</v>
      </c>
      <c r="T9" s="87">
        <v>0</v>
      </c>
      <c r="U9" s="87">
        <v>0</v>
      </c>
      <c r="V9" s="87">
        <v>0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161">
        <v>0</v>
      </c>
      <c r="AD9" s="147">
        <f>P9+Q9+R9</f>
        <v>0</v>
      </c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</row>
    <row r="10" spans="1:246" ht="39">
      <c r="A10" s="20">
        <v>2</v>
      </c>
      <c r="B10" s="23" t="s">
        <v>33</v>
      </c>
      <c r="C10" s="24" t="s">
        <v>34</v>
      </c>
      <c r="D10" s="25" t="s">
        <v>396</v>
      </c>
      <c r="E10" s="26">
        <f>F11</f>
        <v>63069.875</v>
      </c>
      <c r="F10" s="27">
        <f>F11</f>
        <v>63069.875</v>
      </c>
      <c r="G10" s="28">
        <f>G11</f>
        <v>0</v>
      </c>
      <c r="H10" s="28">
        <f>H11</f>
        <v>0</v>
      </c>
      <c r="I10" s="28">
        <f t="shared" si="0"/>
        <v>32174.024999999998</v>
      </c>
      <c r="J10" s="27">
        <f t="shared" ref="J10:P10" si="4">J11</f>
        <v>0</v>
      </c>
      <c r="K10" s="27">
        <f t="shared" si="4"/>
        <v>4123</v>
      </c>
      <c r="L10" s="27">
        <f t="shared" si="4"/>
        <v>7228.6719999999996</v>
      </c>
      <c r="M10" s="27">
        <f t="shared" si="4"/>
        <v>5118.3530000000001</v>
      </c>
      <c r="N10" s="85">
        <f t="shared" si="4"/>
        <v>8236</v>
      </c>
      <c r="O10" s="85">
        <f t="shared" si="4"/>
        <v>7468</v>
      </c>
      <c r="P10" s="85">
        <f t="shared" si="4"/>
        <v>15895.85</v>
      </c>
      <c r="Q10" s="85">
        <f>Q11</f>
        <v>5000</v>
      </c>
      <c r="R10" s="118">
        <f t="shared" si="2"/>
        <v>10000</v>
      </c>
      <c r="S10" s="85">
        <f>S11</f>
        <v>5000</v>
      </c>
      <c r="T10" s="85">
        <f t="shared" ref="T10:AC10" si="5">T11</f>
        <v>5000</v>
      </c>
      <c r="U10" s="85">
        <f t="shared" si="5"/>
        <v>0</v>
      </c>
      <c r="V10" s="85">
        <f t="shared" si="5"/>
        <v>0</v>
      </c>
      <c r="W10" s="85">
        <f t="shared" si="5"/>
        <v>0</v>
      </c>
      <c r="X10" s="85">
        <f t="shared" si="5"/>
        <v>0</v>
      </c>
      <c r="Y10" s="85">
        <f t="shared" si="5"/>
        <v>0</v>
      </c>
      <c r="Z10" s="85">
        <f t="shared" si="5"/>
        <v>0</v>
      </c>
      <c r="AA10" s="85">
        <f t="shared" si="5"/>
        <v>0</v>
      </c>
      <c r="AB10" s="85">
        <f t="shared" si="5"/>
        <v>0</v>
      </c>
      <c r="AC10" s="150">
        <f t="shared" si="5"/>
        <v>0</v>
      </c>
      <c r="AD10" s="146">
        <f t="shared" ref="AD10:AD77" si="6">P10+Q10+R10</f>
        <v>30895.85</v>
      </c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</row>
    <row r="11" spans="1:246" ht="14.25" customHeight="1">
      <c r="A11" s="29"/>
      <c r="B11" s="10" t="s">
        <v>31</v>
      </c>
      <c r="C11" s="30"/>
      <c r="D11" s="31"/>
      <c r="E11" s="32"/>
      <c r="F11" s="33">
        <f>H11+I11+AD11</f>
        <v>63069.875</v>
      </c>
      <c r="G11" s="34">
        <v>0</v>
      </c>
      <c r="H11" s="33">
        <v>0</v>
      </c>
      <c r="I11" s="33">
        <f t="shared" si="0"/>
        <v>32174.024999999998</v>
      </c>
      <c r="J11" s="33">
        <v>0</v>
      </c>
      <c r="K11" s="33">
        <v>4123</v>
      </c>
      <c r="L11" s="33">
        <v>7228.6719999999996</v>
      </c>
      <c r="M11" s="35">
        <v>5118.3530000000001</v>
      </c>
      <c r="N11" s="87">
        <v>8236</v>
      </c>
      <c r="O11" s="86">
        <v>7468</v>
      </c>
      <c r="P11" s="87">
        <v>15895.85</v>
      </c>
      <c r="Q11" s="87">
        <v>5000</v>
      </c>
      <c r="R11" s="119">
        <f t="shared" si="2"/>
        <v>10000</v>
      </c>
      <c r="S11" s="87">
        <v>5000</v>
      </c>
      <c r="T11" s="87">
        <v>5000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161">
        <v>0</v>
      </c>
      <c r="AD11" s="148">
        <f t="shared" si="6"/>
        <v>30895.85</v>
      </c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</row>
    <row r="12" spans="1:246" ht="22.5">
      <c r="A12" s="20">
        <v>3</v>
      </c>
      <c r="B12" s="36" t="s">
        <v>36</v>
      </c>
      <c r="C12" s="24" t="s">
        <v>37</v>
      </c>
      <c r="D12" s="25" t="s">
        <v>38</v>
      </c>
      <c r="E12" s="26">
        <f>F13</f>
        <v>16743.235000000001</v>
      </c>
      <c r="F12" s="27">
        <f>F13+F14</f>
        <v>17243.235000000001</v>
      </c>
      <c r="G12" s="27">
        <f>G13+G14</f>
        <v>13511.235000000001</v>
      </c>
      <c r="H12" s="27">
        <f>H13+H14</f>
        <v>15894.235000000001</v>
      </c>
      <c r="I12" s="28">
        <f t="shared" si="0"/>
        <v>1349</v>
      </c>
      <c r="J12" s="27">
        <f t="shared" ref="J12:Q12" si="7">J13+J14</f>
        <v>2383</v>
      </c>
      <c r="K12" s="27">
        <f t="shared" si="7"/>
        <v>1349</v>
      </c>
      <c r="L12" s="27">
        <f t="shared" si="7"/>
        <v>0</v>
      </c>
      <c r="M12" s="27">
        <f t="shared" si="7"/>
        <v>0</v>
      </c>
      <c r="N12" s="85">
        <f t="shared" si="7"/>
        <v>0</v>
      </c>
      <c r="O12" s="85">
        <f t="shared" si="7"/>
        <v>0</v>
      </c>
      <c r="P12" s="85">
        <f t="shared" si="7"/>
        <v>0</v>
      </c>
      <c r="Q12" s="85">
        <f t="shared" si="7"/>
        <v>0</v>
      </c>
      <c r="R12" s="118">
        <f t="shared" si="2"/>
        <v>0</v>
      </c>
      <c r="S12" s="85">
        <f>S13+S14</f>
        <v>0</v>
      </c>
      <c r="T12" s="85">
        <f t="shared" ref="T12:AC12" si="8">T13+T14</f>
        <v>0</v>
      </c>
      <c r="U12" s="85">
        <f t="shared" si="8"/>
        <v>0</v>
      </c>
      <c r="V12" s="85">
        <f t="shared" si="8"/>
        <v>0</v>
      </c>
      <c r="W12" s="85">
        <f t="shared" si="8"/>
        <v>0</v>
      </c>
      <c r="X12" s="85">
        <f t="shared" si="8"/>
        <v>0</v>
      </c>
      <c r="Y12" s="85">
        <f t="shared" si="8"/>
        <v>0</v>
      </c>
      <c r="Z12" s="85">
        <f t="shared" si="8"/>
        <v>0</v>
      </c>
      <c r="AA12" s="85">
        <f t="shared" si="8"/>
        <v>0</v>
      </c>
      <c r="AB12" s="85">
        <f t="shared" si="8"/>
        <v>0</v>
      </c>
      <c r="AC12" s="150">
        <f t="shared" si="8"/>
        <v>0</v>
      </c>
      <c r="AD12" s="146">
        <f t="shared" si="6"/>
        <v>0</v>
      </c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</row>
    <row r="13" spans="1:246">
      <c r="A13" s="29"/>
      <c r="B13" s="10" t="s">
        <v>31</v>
      </c>
      <c r="C13" s="30"/>
      <c r="D13" s="31"/>
      <c r="E13" s="32"/>
      <c r="F13" s="33">
        <f>H13+I13+AD13</f>
        <v>16743.235000000001</v>
      </c>
      <c r="G13" s="34">
        <v>13011.235000000001</v>
      </c>
      <c r="H13" s="33">
        <v>15394.235000000001</v>
      </c>
      <c r="I13" s="33">
        <f t="shared" si="0"/>
        <v>1349</v>
      </c>
      <c r="J13" s="33">
        <v>2383</v>
      </c>
      <c r="K13" s="33">
        <v>1349</v>
      </c>
      <c r="L13" s="33">
        <v>0</v>
      </c>
      <c r="M13" s="33">
        <v>0</v>
      </c>
      <c r="N13" s="87">
        <v>0</v>
      </c>
      <c r="O13" s="87">
        <v>0</v>
      </c>
      <c r="P13" s="87">
        <v>0</v>
      </c>
      <c r="Q13" s="87">
        <v>0</v>
      </c>
      <c r="R13" s="119">
        <f t="shared" si="2"/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161">
        <v>0</v>
      </c>
      <c r="AD13" s="148">
        <f t="shared" si="6"/>
        <v>0</v>
      </c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</row>
    <row r="14" spans="1:246">
      <c r="A14" s="29"/>
      <c r="B14" s="10" t="s">
        <v>39</v>
      </c>
      <c r="C14" s="30"/>
      <c r="D14" s="31"/>
      <c r="E14" s="32"/>
      <c r="F14" s="33">
        <f>H14+I14+AD14</f>
        <v>500</v>
      </c>
      <c r="G14" s="34">
        <v>500</v>
      </c>
      <c r="H14" s="33">
        <v>500</v>
      </c>
      <c r="I14" s="33">
        <f t="shared" si="0"/>
        <v>0</v>
      </c>
      <c r="J14" s="33">
        <v>0</v>
      </c>
      <c r="K14" s="33">
        <v>0</v>
      </c>
      <c r="L14" s="33">
        <v>0</v>
      </c>
      <c r="M14" s="33">
        <v>0</v>
      </c>
      <c r="N14" s="87">
        <v>0</v>
      </c>
      <c r="O14" s="87">
        <v>0</v>
      </c>
      <c r="P14" s="87">
        <v>0</v>
      </c>
      <c r="Q14" s="87">
        <v>0</v>
      </c>
      <c r="R14" s="119">
        <f t="shared" si="2"/>
        <v>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161">
        <v>0</v>
      </c>
      <c r="AD14" s="148">
        <f t="shared" si="6"/>
        <v>0</v>
      </c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</row>
    <row r="15" spans="1:246" ht="21" customHeight="1">
      <c r="A15" s="20">
        <v>4</v>
      </c>
      <c r="B15" s="37" t="s">
        <v>40</v>
      </c>
      <c r="C15" s="24" t="s">
        <v>407</v>
      </c>
      <c r="D15" s="25" t="s">
        <v>178</v>
      </c>
      <c r="E15" s="26">
        <f>F16</f>
        <v>96388</v>
      </c>
      <c r="F15" s="27">
        <f>F16+F17+F18</f>
        <v>117831.98199999999</v>
      </c>
      <c r="G15" s="28">
        <v>10035.272000000001</v>
      </c>
      <c r="H15" s="28">
        <v>13016.748000000001</v>
      </c>
      <c r="I15" s="28">
        <f t="shared" si="0"/>
        <v>73835.739999999991</v>
      </c>
      <c r="J15" s="27">
        <f>J16+J17+J18</f>
        <v>2981.4760000000001</v>
      </c>
      <c r="K15" s="27">
        <f t="shared" ref="K15:Q15" si="9">K16+K17+K18</f>
        <v>20401.936000000002</v>
      </c>
      <c r="L15" s="27">
        <f t="shared" si="9"/>
        <v>21257.946</v>
      </c>
      <c r="M15" s="27">
        <f t="shared" si="9"/>
        <v>5187</v>
      </c>
      <c r="N15" s="85">
        <f t="shared" si="9"/>
        <v>20802.86</v>
      </c>
      <c r="O15" s="85">
        <f t="shared" si="9"/>
        <v>6185.9979999999996</v>
      </c>
      <c r="P15" s="88">
        <f t="shared" si="9"/>
        <v>7085.4940000000006</v>
      </c>
      <c r="Q15" s="85">
        <f t="shared" si="9"/>
        <v>8194</v>
      </c>
      <c r="R15" s="118">
        <f t="shared" si="2"/>
        <v>15700</v>
      </c>
      <c r="S15" s="85">
        <f>S16+S17+S18</f>
        <v>8700</v>
      </c>
      <c r="T15" s="85">
        <f t="shared" ref="T15:AC15" si="10">T16+T17+T18</f>
        <v>7000</v>
      </c>
      <c r="U15" s="85">
        <f t="shared" si="10"/>
        <v>0</v>
      </c>
      <c r="V15" s="85">
        <f t="shared" si="10"/>
        <v>0</v>
      </c>
      <c r="W15" s="85">
        <f t="shared" si="10"/>
        <v>0</v>
      </c>
      <c r="X15" s="85">
        <f t="shared" si="10"/>
        <v>0</v>
      </c>
      <c r="Y15" s="85">
        <f t="shared" si="10"/>
        <v>0</v>
      </c>
      <c r="Z15" s="85">
        <f t="shared" si="10"/>
        <v>0</v>
      </c>
      <c r="AA15" s="85">
        <f t="shared" si="10"/>
        <v>0</v>
      </c>
      <c r="AB15" s="85">
        <f t="shared" si="10"/>
        <v>0</v>
      </c>
      <c r="AC15" s="150">
        <f t="shared" si="10"/>
        <v>0</v>
      </c>
      <c r="AD15" s="146">
        <f t="shared" si="6"/>
        <v>30979.493999999999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</row>
    <row r="16" spans="1:246">
      <c r="A16" s="29"/>
      <c r="B16" s="38" t="s">
        <v>31</v>
      </c>
      <c r="C16" s="30"/>
      <c r="D16" s="31"/>
      <c r="E16" s="32"/>
      <c r="F16" s="33">
        <f>H16+I16+AD16</f>
        <v>96388</v>
      </c>
      <c r="G16" s="34">
        <v>10035.272000000001</v>
      </c>
      <c r="H16" s="33">
        <v>13016.748000000001</v>
      </c>
      <c r="I16" s="33">
        <f t="shared" si="0"/>
        <v>52391.758000000009</v>
      </c>
      <c r="J16" s="33">
        <v>2981.4760000000001</v>
      </c>
      <c r="K16" s="33">
        <v>16452.983</v>
      </c>
      <c r="L16" s="33">
        <v>21257.946</v>
      </c>
      <c r="M16" s="33">
        <v>3690</v>
      </c>
      <c r="N16" s="89">
        <v>7687.3360000000002</v>
      </c>
      <c r="O16" s="89">
        <f>540.764+2557+205.729</f>
        <v>3303.4929999999999</v>
      </c>
      <c r="P16" s="89">
        <f>4828.339+2257.155</f>
        <v>7085.4940000000006</v>
      </c>
      <c r="Q16" s="89">
        <v>8194</v>
      </c>
      <c r="R16" s="119">
        <f t="shared" si="2"/>
        <v>15700</v>
      </c>
      <c r="S16" s="87">
        <v>8700</v>
      </c>
      <c r="T16" s="87">
        <v>7000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161">
        <v>0</v>
      </c>
      <c r="AD16" s="148">
        <f t="shared" si="6"/>
        <v>30979.493999999999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</row>
    <row r="17" spans="1:30">
      <c r="A17" s="29"/>
      <c r="B17" s="38" t="s">
        <v>41</v>
      </c>
      <c r="C17" s="30"/>
      <c r="D17" s="31"/>
      <c r="E17" s="32"/>
      <c r="F17" s="33">
        <f>H17+I17+AD17</f>
        <v>17495.028999999999</v>
      </c>
      <c r="G17" s="34">
        <v>0</v>
      </c>
      <c r="H17" s="33">
        <v>0</v>
      </c>
      <c r="I17" s="33">
        <f t="shared" si="0"/>
        <v>17495.028999999999</v>
      </c>
      <c r="J17" s="33">
        <v>0</v>
      </c>
      <c r="K17" s="33">
        <v>0</v>
      </c>
      <c r="L17" s="33">
        <v>0</v>
      </c>
      <c r="M17" s="33">
        <v>1497</v>
      </c>
      <c r="N17" s="87">
        <v>13115.523999999999</v>
      </c>
      <c r="O17" s="86">
        <v>2882.5050000000001</v>
      </c>
      <c r="P17" s="86">
        <f>166-166</f>
        <v>0</v>
      </c>
      <c r="Q17" s="86">
        <v>0</v>
      </c>
      <c r="R17" s="119">
        <f t="shared" si="2"/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161">
        <v>0</v>
      </c>
      <c r="AD17" s="148">
        <f t="shared" si="6"/>
        <v>0</v>
      </c>
    </row>
    <row r="18" spans="1:30">
      <c r="A18" s="29"/>
      <c r="B18" s="38" t="s">
        <v>32</v>
      </c>
      <c r="C18" s="30"/>
      <c r="D18" s="31"/>
      <c r="E18" s="32"/>
      <c r="F18" s="33">
        <f>H18+I18+AD18</f>
        <v>3948.953</v>
      </c>
      <c r="G18" s="34">
        <v>0</v>
      </c>
      <c r="H18" s="33">
        <v>0</v>
      </c>
      <c r="I18" s="33">
        <f t="shared" si="0"/>
        <v>3948.953</v>
      </c>
      <c r="J18" s="33">
        <v>0</v>
      </c>
      <c r="K18" s="33">
        <v>3948.953</v>
      </c>
      <c r="L18" s="33">
        <v>0</v>
      </c>
      <c r="M18" s="33">
        <v>0</v>
      </c>
      <c r="N18" s="87">
        <v>0</v>
      </c>
      <c r="O18" s="87">
        <v>0</v>
      </c>
      <c r="P18" s="87">
        <v>0</v>
      </c>
      <c r="Q18" s="87">
        <v>0</v>
      </c>
      <c r="R18" s="119">
        <f t="shared" si="2"/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161">
        <v>0</v>
      </c>
      <c r="AD18" s="148">
        <f t="shared" si="6"/>
        <v>0</v>
      </c>
    </row>
    <row r="19" spans="1:30" ht="24.75" customHeight="1">
      <c r="A19" s="20">
        <v>5</v>
      </c>
      <c r="B19" s="56" t="s">
        <v>430</v>
      </c>
      <c r="C19" s="66" t="s">
        <v>431</v>
      </c>
      <c r="D19" s="130" t="s">
        <v>372</v>
      </c>
      <c r="E19" s="131">
        <f>F20</f>
        <v>11065.858</v>
      </c>
      <c r="F19" s="69">
        <f>F20+F21</f>
        <v>24690.065999999999</v>
      </c>
      <c r="G19" s="132">
        <f>G20+G21</f>
        <v>0</v>
      </c>
      <c r="H19" s="69">
        <f>H20+H21</f>
        <v>0</v>
      </c>
      <c r="I19" s="69">
        <f>SUM(K19:O19)</f>
        <v>7592.4839999999995</v>
      </c>
      <c r="J19" s="69">
        <f t="shared" ref="J19:Q19" si="11">J20+J21</f>
        <v>0</v>
      </c>
      <c r="K19" s="69">
        <f t="shared" si="11"/>
        <v>0</v>
      </c>
      <c r="L19" s="69">
        <f t="shared" si="11"/>
        <v>0</v>
      </c>
      <c r="M19" s="69">
        <f t="shared" si="11"/>
        <v>0</v>
      </c>
      <c r="N19" s="113">
        <f t="shared" si="11"/>
        <v>0</v>
      </c>
      <c r="O19" s="88">
        <f t="shared" si="11"/>
        <v>7592.4839999999995</v>
      </c>
      <c r="P19" s="88">
        <f t="shared" si="11"/>
        <v>13934.520999999999</v>
      </c>
      <c r="Q19" s="88">
        <f t="shared" si="11"/>
        <v>3163.0609999999997</v>
      </c>
      <c r="R19" s="88">
        <f>SUM(S19:AC19)</f>
        <v>0</v>
      </c>
      <c r="S19" s="88">
        <f>S20+S21</f>
        <v>0</v>
      </c>
      <c r="T19" s="88">
        <f>T20+T21</f>
        <v>0</v>
      </c>
      <c r="U19" s="88">
        <f>U20+U21</f>
        <v>0</v>
      </c>
      <c r="V19" s="88">
        <f>V20+V21</f>
        <v>0</v>
      </c>
      <c r="W19" s="88">
        <f>W20+W21</f>
        <v>0</v>
      </c>
      <c r="X19" s="88">
        <f t="shared" ref="X19:AC19" si="12">X20+X21</f>
        <v>0</v>
      </c>
      <c r="Y19" s="88">
        <f t="shared" si="12"/>
        <v>0</v>
      </c>
      <c r="Z19" s="113">
        <f t="shared" si="12"/>
        <v>0</v>
      </c>
      <c r="AA19" s="113">
        <f t="shared" si="12"/>
        <v>0</v>
      </c>
      <c r="AB19" s="113">
        <f t="shared" si="12"/>
        <v>0</v>
      </c>
      <c r="AC19" s="162">
        <f t="shared" si="12"/>
        <v>0</v>
      </c>
      <c r="AD19" s="149">
        <f>P19+Q19+R19</f>
        <v>17097.581999999999</v>
      </c>
    </row>
    <row r="20" spans="1:30">
      <c r="A20" s="29"/>
      <c r="B20" s="10" t="s">
        <v>31</v>
      </c>
      <c r="C20" s="30"/>
      <c r="D20" s="31"/>
      <c r="E20" s="32"/>
      <c r="F20" s="33">
        <f>H20+I20+AD20</f>
        <v>11065.858</v>
      </c>
      <c r="G20" s="34"/>
      <c r="H20" s="33"/>
      <c r="I20" s="33">
        <f t="shared" si="0"/>
        <v>6272.2879999999996</v>
      </c>
      <c r="J20" s="33"/>
      <c r="K20" s="33"/>
      <c r="L20" s="33"/>
      <c r="M20" s="33"/>
      <c r="N20" s="87"/>
      <c r="O20" s="87">
        <v>6272.2879999999996</v>
      </c>
      <c r="P20" s="87">
        <v>3492.0610000000001</v>
      </c>
      <c r="Q20" s="87">
        <v>1301.509</v>
      </c>
      <c r="R20" s="119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161"/>
      <c r="AD20" s="148">
        <f t="shared" si="6"/>
        <v>4793.57</v>
      </c>
    </row>
    <row r="21" spans="1:30">
      <c r="A21" s="29"/>
      <c r="B21" s="38" t="s">
        <v>41</v>
      </c>
      <c r="C21" s="30"/>
      <c r="D21" s="31"/>
      <c r="E21" s="32"/>
      <c r="F21" s="33">
        <f>H21+I21+AD21</f>
        <v>13624.207999999999</v>
      </c>
      <c r="G21" s="34"/>
      <c r="H21" s="33"/>
      <c r="I21" s="33">
        <f t="shared" si="0"/>
        <v>1320.1959999999999</v>
      </c>
      <c r="J21" s="33"/>
      <c r="K21" s="33"/>
      <c r="L21" s="33"/>
      <c r="M21" s="33"/>
      <c r="N21" s="87"/>
      <c r="O21" s="87">
        <v>1320.1959999999999</v>
      </c>
      <c r="P21" s="87">
        <v>10442.459999999999</v>
      </c>
      <c r="Q21" s="87">
        <f>1861.552</f>
        <v>1861.5519999999999</v>
      </c>
      <c r="R21" s="119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161"/>
      <c r="AD21" s="148">
        <f t="shared" si="6"/>
        <v>12304.011999999999</v>
      </c>
    </row>
    <row r="22" spans="1:30" ht="22.5">
      <c r="A22" s="20">
        <v>6</v>
      </c>
      <c r="B22" s="23" t="s">
        <v>42</v>
      </c>
      <c r="C22" s="24" t="s">
        <v>43</v>
      </c>
      <c r="D22" s="25" t="s">
        <v>44</v>
      </c>
      <c r="E22" s="26">
        <f>F23</f>
        <v>40186.826999999997</v>
      </c>
      <c r="F22" s="27">
        <f>F23+F24</f>
        <v>45016.030999999995</v>
      </c>
      <c r="G22" s="27">
        <f>G23+G24</f>
        <v>18829.849000000002</v>
      </c>
      <c r="H22" s="27">
        <f>H23+H24</f>
        <v>40983.198999999993</v>
      </c>
      <c r="I22" s="28">
        <f t="shared" si="0"/>
        <v>4032.8319999999999</v>
      </c>
      <c r="J22" s="27">
        <f t="shared" ref="J22:Q22" si="13">J23+J24</f>
        <v>22153.35</v>
      </c>
      <c r="K22" s="27">
        <f t="shared" si="13"/>
        <v>4032.8319999999999</v>
      </c>
      <c r="L22" s="27">
        <f t="shared" si="13"/>
        <v>0</v>
      </c>
      <c r="M22" s="27">
        <f t="shared" si="13"/>
        <v>0</v>
      </c>
      <c r="N22" s="85">
        <f t="shared" si="13"/>
        <v>0</v>
      </c>
      <c r="O22" s="85">
        <f t="shared" si="13"/>
        <v>0</v>
      </c>
      <c r="P22" s="85">
        <f t="shared" si="13"/>
        <v>0</v>
      </c>
      <c r="Q22" s="85">
        <f t="shared" si="13"/>
        <v>0</v>
      </c>
      <c r="R22" s="118">
        <f t="shared" si="2"/>
        <v>0</v>
      </c>
      <c r="S22" s="85">
        <f>S23+S24</f>
        <v>0</v>
      </c>
      <c r="T22" s="85">
        <f t="shared" ref="T22:AC22" si="14">T23+T24</f>
        <v>0</v>
      </c>
      <c r="U22" s="85">
        <f t="shared" si="14"/>
        <v>0</v>
      </c>
      <c r="V22" s="85">
        <f t="shared" si="14"/>
        <v>0</v>
      </c>
      <c r="W22" s="85">
        <f t="shared" si="14"/>
        <v>0</v>
      </c>
      <c r="X22" s="85">
        <f t="shared" si="14"/>
        <v>0</v>
      </c>
      <c r="Y22" s="85">
        <f t="shared" si="14"/>
        <v>0</v>
      </c>
      <c r="Z22" s="85">
        <f t="shared" si="14"/>
        <v>0</v>
      </c>
      <c r="AA22" s="85">
        <f t="shared" si="14"/>
        <v>0</v>
      </c>
      <c r="AB22" s="85">
        <f t="shared" si="14"/>
        <v>0</v>
      </c>
      <c r="AC22" s="150">
        <f t="shared" si="14"/>
        <v>0</v>
      </c>
      <c r="AD22" s="146">
        <f t="shared" si="6"/>
        <v>0</v>
      </c>
    </row>
    <row r="23" spans="1:30">
      <c r="A23" s="40"/>
      <c r="B23" s="10" t="s">
        <v>31</v>
      </c>
      <c r="C23" s="30"/>
      <c r="D23" s="31"/>
      <c r="E23" s="32"/>
      <c r="F23" s="33">
        <f>H23+I23+AD23</f>
        <v>40186.826999999997</v>
      </c>
      <c r="G23" s="34">
        <v>14000.645</v>
      </c>
      <c r="H23" s="33">
        <v>36153.994999999995</v>
      </c>
      <c r="I23" s="33">
        <f t="shared" si="0"/>
        <v>4032.8319999999999</v>
      </c>
      <c r="J23" s="33">
        <v>22153.35</v>
      </c>
      <c r="K23" s="33">
        <v>4032.8319999999999</v>
      </c>
      <c r="L23" s="33">
        <v>0</v>
      </c>
      <c r="M23" s="33">
        <v>0</v>
      </c>
      <c r="N23" s="87">
        <v>0</v>
      </c>
      <c r="O23" s="87">
        <v>0</v>
      </c>
      <c r="P23" s="87">
        <v>0</v>
      </c>
      <c r="Q23" s="87">
        <v>0</v>
      </c>
      <c r="R23" s="119">
        <f t="shared" si="2"/>
        <v>0</v>
      </c>
      <c r="S23" s="87">
        <v>0</v>
      </c>
      <c r="T23" s="87">
        <v>0</v>
      </c>
      <c r="U23" s="87">
        <v>0</v>
      </c>
      <c r="V23" s="87">
        <v>0</v>
      </c>
      <c r="W23" s="87">
        <v>0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161">
        <v>0</v>
      </c>
      <c r="AD23" s="148">
        <f t="shared" si="6"/>
        <v>0</v>
      </c>
    </row>
    <row r="24" spans="1:30">
      <c r="A24" s="40"/>
      <c r="B24" s="10" t="s">
        <v>32</v>
      </c>
      <c r="C24" s="30"/>
      <c r="D24" s="31"/>
      <c r="E24" s="32"/>
      <c r="F24" s="33">
        <f>H24+I24+AD24</f>
        <v>4829.2039999999997</v>
      </c>
      <c r="G24" s="34">
        <v>4829.2039999999997</v>
      </c>
      <c r="H24" s="33">
        <v>4829.2039999999997</v>
      </c>
      <c r="I24" s="33">
        <f t="shared" si="0"/>
        <v>0</v>
      </c>
      <c r="J24" s="33">
        <v>0</v>
      </c>
      <c r="K24" s="33">
        <v>0</v>
      </c>
      <c r="L24" s="33">
        <v>0</v>
      </c>
      <c r="M24" s="33">
        <v>0</v>
      </c>
      <c r="N24" s="87">
        <v>0</v>
      </c>
      <c r="O24" s="87">
        <v>0</v>
      </c>
      <c r="P24" s="87">
        <v>0</v>
      </c>
      <c r="Q24" s="87">
        <v>0</v>
      </c>
      <c r="R24" s="119">
        <f t="shared" si="2"/>
        <v>0</v>
      </c>
      <c r="S24" s="87">
        <v>0</v>
      </c>
      <c r="T24" s="87">
        <v>0</v>
      </c>
      <c r="U24" s="87">
        <v>0</v>
      </c>
      <c r="V24" s="87">
        <v>0</v>
      </c>
      <c r="W24" s="87">
        <v>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161">
        <v>0</v>
      </c>
      <c r="AD24" s="148">
        <f t="shared" si="6"/>
        <v>0</v>
      </c>
    </row>
    <row r="25" spans="1:30" ht="22.5">
      <c r="A25" s="20">
        <v>7</v>
      </c>
      <c r="B25" s="23" t="s">
        <v>45</v>
      </c>
      <c r="C25" s="24" t="s">
        <v>43</v>
      </c>
      <c r="D25" s="25" t="s">
        <v>44</v>
      </c>
      <c r="E25" s="26">
        <f>F26</f>
        <v>105791.361</v>
      </c>
      <c r="F25" s="27">
        <f>F26+F27</f>
        <v>122210.973</v>
      </c>
      <c r="G25" s="27">
        <f>G26+G27</f>
        <v>106905.58900000001</v>
      </c>
      <c r="H25" s="27">
        <f>H26+H27</f>
        <v>112953.06</v>
      </c>
      <c r="I25" s="28">
        <f t="shared" si="0"/>
        <v>9257.9130000000005</v>
      </c>
      <c r="J25" s="27">
        <f t="shared" ref="J25:Q25" si="15">J26+J27</f>
        <v>6047.4709999999995</v>
      </c>
      <c r="K25" s="27">
        <f t="shared" si="15"/>
        <v>9257.9130000000005</v>
      </c>
      <c r="L25" s="27">
        <f t="shared" si="15"/>
        <v>0</v>
      </c>
      <c r="M25" s="27">
        <f t="shared" si="15"/>
        <v>0</v>
      </c>
      <c r="N25" s="85">
        <f t="shared" si="15"/>
        <v>0</v>
      </c>
      <c r="O25" s="85">
        <f t="shared" si="15"/>
        <v>0</v>
      </c>
      <c r="P25" s="85">
        <f t="shared" si="15"/>
        <v>0</v>
      </c>
      <c r="Q25" s="85">
        <f t="shared" si="15"/>
        <v>0</v>
      </c>
      <c r="R25" s="118">
        <f t="shared" si="2"/>
        <v>0</v>
      </c>
      <c r="S25" s="85">
        <f>S26+S27</f>
        <v>0</v>
      </c>
      <c r="T25" s="85">
        <f t="shared" ref="T25:AC25" si="16">T26+T27</f>
        <v>0</v>
      </c>
      <c r="U25" s="85">
        <f t="shared" si="16"/>
        <v>0</v>
      </c>
      <c r="V25" s="85">
        <f t="shared" si="16"/>
        <v>0</v>
      </c>
      <c r="W25" s="85">
        <f t="shared" si="16"/>
        <v>0</v>
      </c>
      <c r="X25" s="85">
        <f t="shared" si="16"/>
        <v>0</v>
      </c>
      <c r="Y25" s="85">
        <f t="shared" si="16"/>
        <v>0</v>
      </c>
      <c r="Z25" s="85">
        <f t="shared" si="16"/>
        <v>0</v>
      </c>
      <c r="AA25" s="85">
        <f t="shared" si="16"/>
        <v>0</v>
      </c>
      <c r="AB25" s="85">
        <f t="shared" si="16"/>
        <v>0</v>
      </c>
      <c r="AC25" s="150">
        <f t="shared" si="16"/>
        <v>0</v>
      </c>
      <c r="AD25" s="146">
        <f t="shared" si="6"/>
        <v>0</v>
      </c>
    </row>
    <row r="26" spans="1:30">
      <c r="A26" s="40"/>
      <c r="B26" s="10" t="s">
        <v>31</v>
      </c>
      <c r="C26" s="30"/>
      <c r="D26" s="31"/>
      <c r="E26" s="32"/>
      <c r="F26" s="33">
        <f>H26+I26+AD26</f>
        <v>105791.361</v>
      </c>
      <c r="G26" s="34">
        <v>90485.976999999999</v>
      </c>
      <c r="H26" s="33">
        <v>96533.448000000004</v>
      </c>
      <c r="I26" s="33">
        <f t="shared" si="0"/>
        <v>9257.9130000000005</v>
      </c>
      <c r="J26" s="33">
        <v>6047.4709999999995</v>
      </c>
      <c r="K26" s="33">
        <v>9257.9130000000005</v>
      </c>
      <c r="L26" s="33">
        <v>0</v>
      </c>
      <c r="M26" s="33">
        <v>0</v>
      </c>
      <c r="N26" s="87">
        <v>0</v>
      </c>
      <c r="O26" s="87">
        <v>0</v>
      </c>
      <c r="P26" s="87">
        <v>0</v>
      </c>
      <c r="Q26" s="87">
        <v>0</v>
      </c>
      <c r="R26" s="119">
        <f t="shared" si="2"/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161">
        <v>0</v>
      </c>
      <c r="AD26" s="148">
        <f t="shared" si="6"/>
        <v>0</v>
      </c>
    </row>
    <row r="27" spans="1:30">
      <c r="A27" s="40"/>
      <c r="B27" s="38" t="s">
        <v>41</v>
      </c>
      <c r="C27" s="30"/>
      <c r="D27" s="31"/>
      <c r="E27" s="32"/>
      <c r="F27" s="33">
        <f>H27+I27+AD27</f>
        <v>16419.612000000001</v>
      </c>
      <c r="G27" s="34">
        <v>16419.612000000001</v>
      </c>
      <c r="H27" s="33">
        <v>16419.612000000001</v>
      </c>
      <c r="I27" s="33">
        <f t="shared" si="0"/>
        <v>0</v>
      </c>
      <c r="J27" s="33">
        <v>0</v>
      </c>
      <c r="K27" s="33">
        <v>0</v>
      </c>
      <c r="L27" s="33">
        <v>0</v>
      </c>
      <c r="M27" s="33">
        <v>0</v>
      </c>
      <c r="N27" s="87">
        <v>0</v>
      </c>
      <c r="O27" s="87">
        <v>0</v>
      </c>
      <c r="P27" s="87">
        <v>0</v>
      </c>
      <c r="Q27" s="87">
        <v>0</v>
      </c>
      <c r="R27" s="119">
        <f t="shared" si="2"/>
        <v>0</v>
      </c>
      <c r="S27" s="87">
        <v>0</v>
      </c>
      <c r="T27" s="87">
        <v>0</v>
      </c>
      <c r="U27" s="87">
        <v>0</v>
      </c>
      <c r="V27" s="87">
        <v>0</v>
      </c>
      <c r="W27" s="87">
        <v>0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161">
        <v>0</v>
      </c>
      <c r="AD27" s="148">
        <f t="shared" si="6"/>
        <v>0</v>
      </c>
    </row>
    <row r="28" spans="1:30" ht="29.25">
      <c r="A28" s="20">
        <v>8</v>
      </c>
      <c r="B28" s="23" t="s">
        <v>46</v>
      </c>
      <c r="C28" s="24" t="s">
        <v>47</v>
      </c>
      <c r="D28" s="25" t="s">
        <v>48</v>
      </c>
      <c r="E28" s="26">
        <f>F29</f>
        <v>189777.38700000002</v>
      </c>
      <c r="F28" s="27">
        <f>F29+F30+F31</f>
        <v>816568.06300000008</v>
      </c>
      <c r="G28" s="28">
        <v>747471.11899999995</v>
      </c>
      <c r="H28" s="28">
        <v>765764.65699999989</v>
      </c>
      <c r="I28" s="28">
        <f t="shared" si="0"/>
        <v>50803.406000000003</v>
      </c>
      <c r="J28" s="27">
        <f>J29+J30+J31</f>
        <v>18293.538</v>
      </c>
      <c r="K28" s="27">
        <f t="shared" ref="K28:Q28" si="17">K29+K30+K31</f>
        <v>268</v>
      </c>
      <c r="L28" s="27">
        <f t="shared" si="17"/>
        <v>50535.406000000003</v>
      </c>
      <c r="M28" s="27">
        <f t="shared" si="17"/>
        <v>0</v>
      </c>
      <c r="N28" s="85">
        <f t="shared" si="17"/>
        <v>0</v>
      </c>
      <c r="O28" s="85">
        <f t="shared" si="17"/>
        <v>0</v>
      </c>
      <c r="P28" s="85">
        <f t="shared" si="17"/>
        <v>0</v>
      </c>
      <c r="Q28" s="85">
        <f t="shared" si="17"/>
        <v>0</v>
      </c>
      <c r="R28" s="118">
        <f t="shared" si="2"/>
        <v>0</v>
      </c>
      <c r="S28" s="85">
        <f>S29+S30+S31</f>
        <v>0</v>
      </c>
      <c r="T28" s="85">
        <f t="shared" ref="T28:AC28" si="18">T29+T30+T31</f>
        <v>0</v>
      </c>
      <c r="U28" s="85">
        <f t="shared" si="18"/>
        <v>0</v>
      </c>
      <c r="V28" s="85">
        <f t="shared" si="18"/>
        <v>0</v>
      </c>
      <c r="W28" s="85">
        <f t="shared" si="18"/>
        <v>0</v>
      </c>
      <c r="X28" s="85">
        <f t="shared" si="18"/>
        <v>0</v>
      </c>
      <c r="Y28" s="85">
        <f t="shared" si="18"/>
        <v>0</v>
      </c>
      <c r="Z28" s="85">
        <f t="shared" si="18"/>
        <v>0</v>
      </c>
      <c r="AA28" s="85">
        <f t="shared" si="18"/>
        <v>0</v>
      </c>
      <c r="AB28" s="85">
        <f t="shared" si="18"/>
        <v>0</v>
      </c>
      <c r="AC28" s="150">
        <f t="shared" si="18"/>
        <v>0</v>
      </c>
      <c r="AD28" s="146">
        <f t="shared" si="6"/>
        <v>0</v>
      </c>
    </row>
    <row r="29" spans="1:30">
      <c r="A29" s="40"/>
      <c r="B29" s="10" t="s">
        <v>31</v>
      </c>
      <c r="C29" s="30"/>
      <c r="D29" s="31"/>
      <c r="E29" s="32"/>
      <c r="F29" s="33">
        <f>H29+I29+AD29</f>
        <v>189777.38700000002</v>
      </c>
      <c r="G29" s="34">
        <v>189160.96900000001</v>
      </c>
      <c r="H29" s="33">
        <v>189469.16700000002</v>
      </c>
      <c r="I29" s="33">
        <f t="shared" si="0"/>
        <v>308.22000000000003</v>
      </c>
      <c r="J29" s="33">
        <v>308.19799999999998</v>
      </c>
      <c r="K29" s="33">
        <v>268</v>
      </c>
      <c r="L29" s="33">
        <v>40.22</v>
      </c>
      <c r="M29" s="33">
        <v>0</v>
      </c>
      <c r="N29" s="87">
        <v>0</v>
      </c>
      <c r="O29" s="87">
        <v>0</v>
      </c>
      <c r="P29" s="87">
        <v>0</v>
      </c>
      <c r="Q29" s="87">
        <v>0</v>
      </c>
      <c r="R29" s="119">
        <f t="shared" si="2"/>
        <v>0</v>
      </c>
      <c r="S29" s="87">
        <v>0</v>
      </c>
      <c r="T29" s="87">
        <v>0</v>
      </c>
      <c r="U29" s="87">
        <v>0</v>
      </c>
      <c r="V29" s="87">
        <v>0</v>
      </c>
      <c r="W29" s="87">
        <v>0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161">
        <v>0</v>
      </c>
      <c r="AD29" s="148">
        <f t="shared" si="6"/>
        <v>0</v>
      </c>
    </row>
    <row r="30" spans="1:30">
      <c r="A30" s="40"/>
      <c r="B30" s="38" t="s">
        <v>41</v>
      </c>
      <c r="C30" s="30"/>
      <c r="D30" s="31"/>
      <c r="E30" s="32"/>
      <c r="F30" s="33">
        <f>H30+I30+AD30</f>
        <v>420205.08900000004</v>
      </c>
      <c r="G30" s="34">
        <v>351724.56300000002</v>
      </c>
      <c r="H30" s="33">
        <v>369709.90300000005</v>
      </c>
      <c r="I30" s="33">
        <f t="shared" si="0"/>
        <v>50495.186000000002</v>
      </c>
      <c r="J30" s="33">
        <v>17985.34</v>
      </c>
      <c r="K30" s="33">
        <v>0</v>
      </c>
      <c r="L30" s="33">
        <v>50495.186000000002</v>
      </c>
      <c r="M30" s="33">
        <v>0</v>
      </c>
      <c r="N30" s="87">
        <v>0</v>
      </c>
      <c r="O30" s="87">
        <v>0</v>
      </c>
      <c r="P30" s="87">
        <v>0</v>
      </c>
      <c r="Q30" s="87">
        <v>0</v>
      </c>
      <c r="R30" s="119">
        <f t="shared" si="2"/>
        <v>0</v>
      </c>
      <c r="S30" s="87">
        <v>0</v>
      </c>
      <c r="T30" s="87">
        <v>0</v>
      </c>
      <c r="U30" s="87">
        <v>0</v>
      </c>
      <c r="V30" s="87">
        <v>0</v>
      </c>
      <c r="W30" s="87">
        <v>0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161">
        <v>0</v>
      </c>
      <c r="AD30" s="148">
        <f t="shared" si="6"/>
        <v>0</v>
      </c>
    </row>
    <row r="31" spans="1:30">
      <c r="A31" s="40"/>
      <c r="B31" s="10" t="s">
        <v>49</v>
      </c>
      <c r="C31" s="30"/>
      <c r="D31" s="31"/>
      <c r="E31" s="32"/>
      <c r="F31" s="33">
        <f>H31+I31+AD31</f>
        <v>206585.587</v>
      </c>
      <c r="G31" s="34">
        <v>206585.587</v>
      </c>
      <c r="H31" s="33">
        <v>206585.587</v>
      </c>
      <c r="I31" s="33">
        <f t="shared" si="0"/>
        <v>0</v>
      </c>
      <c r="J31" s="33">
        <v>0</v>
      </c>
      <c r="K31" s="33">
        <v>0</v>
      </c>
      <c r="L31" s="33">
        <v>0</v>
      </c>
      <c r="M31" s="33">
        <v>0</v>
      </c>
      <c r="N31" s="87">
        <v>0</v>
      </c>
      <c r="O31" s="87">
        <v>0</v>
      </c>
      <c r="P31" s="87">
        <v>0</v>
      </c>
      <c r="Q31" s="87">
        <v>0</v>
      </c>
      <c r="R31" s="119">
        <f t="shared" si="2"/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161">
        <v>0</v>
      </c>
      <c r="AD31" s="148">
        <f t="shared" si="6"/>
        <v>0</v>
      </c>
    </row>
    <row r="32" spans="1:30" ht="22.5">
      <c r="A32" s="20">
        <v>9</v>
      </c>
      <c r="B32" s="37" t="s">
        <v>50</v>
      </c>
      <c r="C32" s="41" t="s">
        <v>51</v>
      </c>
      <c r="D32" s="25" t="s">
        <v>44</v>
      </c>
      <c r="E32" s="26">
        <f>F33</f>
        <v>32665.574000000001</v>
      </c>
      <c r="F32" s="27">
        <f>F33+F34</f>
        <v>44765.574000000001</v>
      </c>
      <c r="G32" s="27">
        <f>G33+G34</f>
        <v>41450.072</v>
      </c>
      <c r="H32" s="27">
        <f>H33+H34</f>
        <v>43282.184000000001</v>
      </c>
      <c r="I32" s="28">
        <f t="shared" si="0"/>
        <v>1483.3899999999999</v>
      </c>
      <c r="J32" s="27">
        <f t="shared" ref="J32:Q32" si="19">J33+J34</f>
        <v>1832.1120000000001</v>
      </c>
      <c r="K32" s="27">
        <f t="shared" si="19"/>
        <v>1483.3899999999999</v>
      </c>
      <c r="L32" s="27">
        <f t="shared" si="19"/>
        <v>0</v>
      </c>
      <c r="M32" s="27">
        <f t="shared" si="19"/>
        <v>0</v>
      </c>
      <c r="N32" s="85">
        <f t="shared" si="19"/>
        <v>0</v>
      </c>
      <c r="O32" s="85">
        <f t="shared" si="19"/>
        <v>0</v>
      </c>
      <c r="P32" s="85">
        <f t="shared" si="19"/>
        <v>0</v>
      </c>
      <c r="Q32" s="85">
        <f t="shared" si="19"/>
        <v>0</v>
      </c>
      <c r="R32" s="118">
        <f t="shared" si="2"/>
        <v>0</v>
      </c>
      <c r="S32" s="85">
        <f>S33+S34</f>
        <v>0</v>
      </c>
      <c r="T32" s="85">
        <f t="shared" ref="T32:AC32" si="20">T33+T34</f>
        <v>0</v>
      </c>
      <c r="U32" s="85">
        <f t="shared" si="20"/>
        <v>0</v>
      </c>
      <c r="V32" s="85">
        <f t="shared" si="20"/>
        <v>0</v>
      </c>
      <c r="W32" s="85">
        <f t="shared" si="20"/>
        <v>0</v>
      </c>
      <c r="X32" s="85">
        <f t="shared" si="20"/>
        <v>0</v>
      </c>
      <c r="Y32" s="85">
        <f t="shared" si="20"/>
        <v>0</v>
      </c>
      <c r="Z32" s="85">
        <f t="shared" si="20"/>
        <v>0</v>
      </c>
      <c r="AA32" s="85">
        <f t="shared" si="20"/>
        <v>0</v>
      </c>
      <c r="AB32" s="85">
        <f t="shared" si="20"/>
        <v>0</v>
      </c>
      <c r="AC32" s="150">
        <f t="shared" si="20"/>
        <v>0</v>
      </c>
      <c r="AD32" s="146">
        <f t="shared" si="6"/>
        <v>0</v>
      </c>
    </row>
    <row r="33" spans="1:30">
      <c r="A33" s="40"/>
      <c r="B33" s="10" t="s">
        <v>31</v>
      </c>
      <c r="C33" s="31"/>
      <c r="D33" s="31"/>
      <c r="E33" s="32"/>
      <c r="F33" s="33">
        <f>H33+I33+AD33</f>
        <v>32665.574000000001</v>
      </c>
      <c r="G33" s="33">
        <v>29350.072</v>
      </c>
      <c r="H33" s="33">
        <v>31182.184000000001</v>
      </c>
      <c r="I33" s="33">
        <f t="shared" si="0"/>
        <v>1483.3899999999999</v>
      </c>
      <c r="J33" s="33">
        <v>1832.1120000000001</v>
      </c>
      <c r="K33" s="33">
        <v>1483.3899999999999</v>
      </c>
      <c r="L33" s="33">
        <v>0</v>
      </c>
      <c r="M33" s="33">
        <v>0</v>
      </c>
      <c r="N33" s="87">
        <v>0</v>
      </c>
      <c r="O33" s="87">
        <v>0</v>
      </c>
      <c r="P33" s="87">
        <v>0</v>
      </c>
      <c r="Q33" s="87">
        <v>0</v>
      </c>
      <c r="R33" s="119">
        <f t="shared" si="2"/>
        <v>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161">
        <v>0</v>
      </c>
      <c r="AD33" s="148">
        <f t="shared" si="6"/>
        <v>0</v>
      </c>
    </row>
    <row r="34" spans="1:30">
      <c r="A34" s="40"/>
      <c r="B34" s="10" t="s">
        <v>52</v>
      </c>
      <c r="C34" s="30"/>
      <c r="D34" s="31"/>
      <c r="E34" s="32"/>
      <c r="F34" s="33">
        <f>H34+I34+AD34</f>
        <v>12100</v>
      </c>
      <c r="G34" s="34">
        <v>12100</v>
      </c>
      <c r="H34" s="33">
        <v>12100</v>
      </c>
      <c r="I34" s="33">
        <f t="shared" si="0"/>
        <v>0</v>
      </c>
      <c r="J34" s="33">
        <v>0</v>
      </c>
      <c r="K34" s="33">
        <v>0</v>
      </c>
      <c r="L34" s="33">
        <v>0</v>
      </c>
      <c r="M34" s="33">
        <v>0</v>
      </c>
      <c r="N34" s="87">
        <v>0</v>
      </c>
      <c r="O34" s="87">
        <v>0</v>
      </c>
      <c r="P34" s="87">
        <v>0</v>
      </c>
      <c r="Q34" s="87">
        <v>0</v>
      </c>
      <c r="R34" s="119">
        <f t="shared" si="2"/>
        <v>0</v>
      </c>
      <c r="S34" s="87">
        <v>0</v>
      </c>
      <c r="T34" s="87">
        <v>0</v>
      </c>
      <c r="U34" s="87">
        <v>0</v>
      </c>
      <c r="V34" s="87">
        <v>0</v>
      </c>
      <c r="W34" s="87">
        <v>0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161">
        <v>0</v>
      </c>
      <c r="AD34" s="148">
        <f t="shared" si="6"/>
        <v>0</v>
      </c>
    </row>
    <row r="35" spans="1:30" ht="22.5">
      <c r="A35" s="20">
        <v>10</v>
      </c>
      <c r="B35" s="37" t="s">
        <v>53</v>
      </c>
      <c r="C35" s="41" t="s">
        <v>51</v>
      </c>
      <c r="D35" s="25" t="s">
        <v>349</v>
      </c>
      <c r="E35" s="26">
        <f>F36</f>
        <v>46075.646000000008</v>
      </c>
      <c r="F35" s="27">
        <f>F36+F37</f>
        <v>101959.24800000001</v>
      </c>
      <c r="G35" s="27">
        <f>G36+G37</f>
        <v>3384.7449999999999</v>
      </c>
      <c r="H35" s="27">
        <f>H36+H37</f>
        <v>3386.152</v>
      </c>
      <c r="I35" s="28">
        <f t="shared" si="0"/>
        <v>95342.012000000017</v>
      </c>
      <c r="J35" s="27">
        <f t="shared" ref="J35:Q35" si="21">J36+J37</f>
        <v>1.407</v>
      </c>
      <c r="K35" s="27">
        <f t="shared" si="21"/>
        <v>196.642</v>
      </c>
      <c r="L35" s="27">
        <f t="shared" si="21"/>
        <v>361.30099999999999</v>
      </c>
      <c r="M35" s="27">
        <f t="shared" si="21"/>
        <v>3896.3130000000001</v>
      </c>
      <c r="N35" s="85">
        <f t="shared" si="21"/>
        <v>30229.599000000002</v>
      </c>
      <c r="O35" s="85">
        <f t="shared" si="21"/>
        <v>60658.157000000007</v>
      </c>
      <c r="P35" s="85">
        <f t="shared" si="21"/>
        <v>3231.0839999999998</v>
      </c>
      <c r="Q35" s="85">
        <f t="shared" si="21"/>
        <v>0</v>
      </c>
      <c r="R35" s="118">
        <f t="shared" si="2"/>
        <v>0</v>
      </c>
      <c r="S35" s="85">
        <f>S36+S37</f>
        <v>0</v>
      </c>
      <c r="T35" s="85">
        <f t="shared" ref="T35:AC35" si="22">T36+T37</f>
        <v>0</v>
      </c>
      <c r="U35" s="85">
        <f t="shared" si="22"/>
        <v>0</v>
      </c>
      <c r="V35" s="85">
        <f t="shared" si="22"/>
        <v>0</v>
      </c>
      <c r="W35" s="85">
        <f t="shared" si="22"/>
        <v>0</v>
      </c>
      <c r="X35" s="85">
        <f t="shared" si="22"/>
        <v>0</v>
      </c>
      <c r="Y35" s="85">
        <f t="shared" si="22"/>
        <v>0</v>
      </c>
      <c r="Z35" s="85">
        <f t="shared" si="22"/>
        <v>0</v>
      </c>
      <c r="AA35" s="85">
        <f t="shared" si="22"/>
        <v>0</v>
      </c>
      <c r="AB35" s="85">
        <f t="shared" si="22"/>
        <v>0</v>
      </c>
      <c r="AC35" s="150">
        <f t="shared" si="22"/>
        <v>0</v>
      </c>
      <c r="AD35" s="146">
        <f t="shared" si="6"/>
        <v>3231.0839999999998</v>
      </c>
    </row>
    <row r="36" spans="1:30">
      <c r="A36" s="40"/>
      <c r="B36" s="10" t="s">
        <v>31</v>
      </c>
      <c r="C36" s="31"/>
      <c r="D36" s="31"/>
      <c r="E36" s="32"/>
      <c r="F36" s="33">
        <f>H36+I36+AD36</f>
        <v>46075.646000000008</v>
      </c>
      <c r="G36" s="33">
        <v>3384.7449999999999</v>
      </c>
      <c r="H36" s="33">
        <v>3386.152</v>
      </c>
      <c r="I36" s="33">
        <f t="shared" si="0"/>
        <v>39458.410000000003</v>
      </c>
      <c r="J36" s="33">
        <v>1.407</v>
      </c>
      <c r="K36" s="33">
        <v>196.642</v>
      </c>
      <c r="L36" s="33">
        <v>140.30099999999999</v>
      </c>
      <c r="M36" s="35">
        <v>1576.69</v>
      </c>
      <c r="N36" s="86">
        <v>10509.867000000002</v>
      </c>
      <c r="O36" s="86">
        <f>7919.928+19114.982</f>
        <v>27034.91</v>
      </c>
      <c r="P36" s="87">
        <f>275.134+2955.95</f>
        <v>3231.0839999999998</v>
      </c>
      <c r="Q36" s="87">
        <v>0</v>
      </c>
      <c r="R36" s="119">
        <f t="shared" si="2"/>
        <v>0</v>
      </c>
      <c r="S36" s="87">
        <v>0</v>
      </c>
      <c r="T36" s="87">
        <v>0</v>
      </c>
      <c r="U36" s="87">
        <v>0</v>
      </c>
      <c r="V36" s="87">
        <v>0</v>
      </c>
      <c r="W36" s="87">
        <v>0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161">
        <v>0</v>
      </c>
      <c r="AD36" s="148">
        <f t="shared" si="6"/>
        <v>3231.0839999999998</v>
      </c>
    </row>
    <row r="37" spans="1:30">
      <c r="A37" s="40"/>
      <c r="B37" s="38" t="s">
        <v>41</v>
      </c>
      <c r="C37" s="31"/>
      <c r="D37" s="31"/>
      <c r="E37" s="32"/>
      <c r="F37" s="33">
        <f>H37+I37+AD37</f>
        <v>55883.601999999999</v>
      </c>
      <c r="G37" s="33">
        <v>0</v>
      </c>
      <c r="H37" s="33">
        <v>0</v>
      </c>
      <c r="I37" s="33">
        <f t="shared" si="0"/>
        <v>55883.601999999999</v>
      </c>
      <c r="J37" s="33">
        <v>0</v>
      </c>
      <c r="K37" s="33">
        <v>0</v>
      </c>
      <c r="L37" s="33">
        <v>221</v>
      </c>
      <c r="M37" s="33">
        <v>2319.623</v>
      </c>
      <c r="N37" s="87">
        <v>19719.732</v>
      </c>
      <c r="O37" s="87">
        <v>33623.247000000003</v>
      </c>
      <c r="P37" s="87">
        <v>0</v>
      </c>
      <c r="Q37" s="87">
        <v>0</v>
      </c>
      <c r="R37" s="119">
        <f t="shared" si="2"/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161">
        <v>0</v>
      </c>
      <c r="AD37" s="148">
        <f t="shared" si="6"/>
        <v>0</v>
      </c>
    </row>
    <row r="38" spans="1:30" ht="22.5">
      <c r="A38" s="20">
        <v>11</v>
      </c>
      <c r="B38" s="37" t="s">
        <v>54</v>
      </c>
      <c r="C38" s="41" t="s">
        <v>51</v>
      </c>
      <c r="D38" s="25" t="s">
        <v>55</v>
      </c>
      <c r="E38" s="26">
        <f>F39</f>
        <v>15979.791999999999</v>
      </c>
      <c r="F38" s="27">
        <f>F39+F40</f>
        <v>16984.792999999998</v>
      </c>
      <c r="G38" s="27">
        <f>G39+G40</f>
        <v>9228.3989999999994</v>
      </c>
      <c r="H38" s="27">
        <f>H39+H40</f>
        <v>10852.898999999999</v>
      </c>
      <c r="I38" s="28">
        <f t="shared" si="0"/>
        <v>6131.8940000000002</v>
      </c>
      <c r="J38" s="27">
        <f t="shared" ref="J38:Q38" si="23">J39+J40</f>
        <v>1624.5</v>
      </c>
      <c r="K38" s="27">
        <f t="shared" si="23"/>
        <v>1368.3779999999999</v>
      </c>
      <c r="L38" s="27">
        <f t="shared" si="23"/>
        <v>700.73400000000004</v>
      </c>
      <c r="M38" s="27">
        <f t="shared" si="23"/>
        <v>700.73399999999992</v>
      </c>
      <c r="N38" s="85">
        <f t="shared" si="23"/>
        <v>3362.0479999999998</v>
      </c>
      <c r="O38" s="85">
        <f t="shared" si="23"/>
        <v>0</v>
      </c>
      <c r="P38" s="85">
        <f t="shared" si="23"/>
        <v>0</v>
      </c>
      <c r="Q38" s="85">
        <f t="shared" si="23"/>
        <v>0</v>
      </c>
      <c r="R38" s="118">
        <f t="shared" si="2"/>
        <v>0</v>
      </c>
      <c r="S38" s="85">
        <f>S39+S40</f>
        <v>0</v>
      </c>
      <c r="T38" s="85">
        <f t="shared" ref="T38:AC38" si="24">T39+T40</f>
        <v>0</v>
      </c>
      <c r="U38" s="85">
        <f t="shared" si="24"/>
        <v>0</v>
      </c>
      <c r="V38" s="85">
        <f t="shared" si="24"/>
        <v>0</v>
      </c>
      <c r="W38" s="85">
        <f t="shared" si="24"/>
        <v>0</v>
      </c>
      <c r="X38" s="85">
        <f t="shared" si="24"/>
        <v>0</v>
      </c>
      <c r="Y38" s="85">
        <f t="shared" si="24"/>
        <v>0</v>
      </c>
      <c r="Z38" s="85">
        <f t="shared" si="24"/>
        <v>0</v>
      </c>
      <c r="AA38" s="85">
        <f t="shared" si="24"/>
        <v>0</v>
      </c>
      <c r="AB38" s="85">
        <f t="shared" si="24"/>
        <v>0</v>
      </c>
      <c r="AC38" s="150">
        <f t="shared" si="24"/>
        <v>0</v>
      </c>
      <c r="AD38" s="146">
        <f t="shared" si="6"/>
        <v>0</v>
      </c>
    </row>
    <row r="39" spans="1:30">
      <c r="A39" s="40"/>
      <c r="B39" s="10" t="s">
        <v>31</v>
      </c>
      <c r="C39" s="30"/>
      <c r="D39" s="31"/>
      <c r="E39" s="32"/>
      <c r="F39" s="33">
        <f>H39+I39+AD39</f>
        <v>15979.791999999999</v>
      </c>
      <c r="G39" s="34">
        <v>8223.3979999999992</v>
      </c>
      <c r="H39" s="33">
        <v>9847.8979999999992</v>
      </c>
      <c r="I39" s="33">
        <f t="shared" si="0"/>
        <v>6131.8940000000002</v>
      </c>
      <c r="J39" s="33">
        <v>1624.5</v>
      </c>
      <c r="K39" s="33">
        <v>1368.3779999999999</v>
      </c>
      <c r="L39" s="33">
        <v>700.73400000000004</v>
      </c>
      <c r="M39" s="35">
        <f>1100.734-400</f>
        <v>700.73399999999992</v>
      </c>
      <c r="N39" s="87">
        <v>3362.0479999999998</v>
      </c>
      <c r="O39" s="87">
        <v>0</v>
      </c>
      <c r="P39" s="87">
        <v>0</v>
      </c>
      <c r="Q39" s="87">
        <v>0</v>
      </c>
      <c r="R39" s="119">
        <f t="shared" si="2"/>
        <v>0</v>
      </c>
      <c r="S39" s="87">
        <v>0</v>
      </c>
      <c r="T39" s="87">
        <v>0</v>
      </c>
      <c r="U39" s="87">
        <v>0</v>
      </c>
      <c r="V39" s="87">
        <v>0</v>
      </c>
      <c r="W39" s="87">
        <v>0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161">
        <v>0</v>
      </c>
      <c r="AD39" s="148">
        <f t="shared" si="6"/>
        <v>0</v>
      </c>
    </row>
    <row r="40" spans="1:30">
      <c r="A40" s="40"/>
      <c r="B40" s="10" t="s">
        <v>32</v>
      </c>
      <c r="C40" s="30"/>
      <c r="D40" s="31"/>
      <c r="E40" s="32"/>
      <c r="F40" s="33">
        <f>H40+I40+AD40</f>
        <v>1005.001</v>
      </c>
      <c r="G40" s="34">
        <v>1005.001</v>
      </c>
      <c r="H40" s="33">
        <v>1005.001</v>
      </c>
      <c r="I40" s="33">
        <f t="shared" si="0"/>
        <v>0</v>
      </c>
      <c r="J40" s="33">
        <v>0</v>
      </c>
      <c r="K40" s="33">
        <v>0</v>
      </c>
      <c r="L40" s="33">
        <v>0</v>
      </c>
      <c r="M40" s="33">
        <v>0</v>
      </c>
      <c r="N40" s="87">
        <v>0</v>
      </c>
      <c r="O40" s="87">
        <v>0</v>
      </c>
      <c r="P40" s="87"/>
      <c r="Q40" s="87"/>
      <c r="R40" s="119">
        <f t="shared" si="2"/>
        <v>0</v>
      </c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161"/>
      <c r="AD40" s="148">
        <f t="shared" si="6"/>
        <v>0</v>
      </c>
    </row>
    <row r="41" spans="1:30" ht="22.5">
      <c r="A41" s="20">
        <v>12</v>
      </c>
      <c r="B41" s="37" t="s">
        <v>56</v>
      </c>
      <c r="C41" s="24" t="s">
        <v>57</v>
      </c>
      <c r="D41" s="25" t="s">
        <v>58</v>
      </c>
      <c r="E41" s="26">
        <f>F42</f>
        <v>15166.766</v>
      </c>
      <c r="F41" s="27">
        <f>F42+F43</f>
        <v>82394.820000000007</v>
      </c>
      <c r="G41" s="27">
        <f>G42+G43</f>
        <v>2032.779</v>
      </c>
      <c r="H41" s="27">
        <f>H42+H43</f>
        <v>29572.107</v>
      </c>
      <c r="I41" s="28">
        <f t="shared" si="0"/>
        <v>52822.713000000003</v>
      </c>
      <c r="J41" s="27">
        <f t="shared" ref="J41:Q41" si="25">J42+J43</f>
        <v>27539.328000000001</v>
      </c>
      <c r="K41" s="27">
        <f t="shared" si="25"/>
        <v>52822.713000000003</v>
      </c>
      <c r="L41" s="27">
        <f t="shared" si="25"/>
        <v>0</v>
      </c>
      <c r="M41" s="27">
        <f t="shared" si="25"/>
        <v>0</v>
      </c>
      <c r="N41" s="85">
        <f t="shared" si="25"/>
        <v>0</v>
      </c>
      <c r="O41" s="85">
        <f t="shared" si="25"/>
        <v>0</v>
      </c>
      <c r="P41" s="85">
        <f t="shared" si="25"/>
        <v>0</v>
      </c>
      <c r="Q41" s="85">
        <f t="shared" si="25"/>
        <v>0</v>
      </c>
      <c r="R41" s="118">
        <f t="shared" si="2"/>
        <v>0</v>
      </c>
      <c r="S41" s="85">
        <f>S42+S43</f>
        <v>0</v>
      </c>
      <c r="T41" s="85">
        <f t="shared" ref="T41:AC41" si="26">T42+T43</f>
        <v>0</v>
      </c>
      <c r="U41" s="85">
        <f t="shared" si="26"/>
        <v>0</v>
      </c>
      <c r="V41" s="85">
        <f t="shared" si="26"/>
        <v>0</v>
      </c>
      <c r="W41" s="85">
        <f t="shared" si="26"/>
        <v>0</v>
      </c>
      <c r="X41" s="85">
        <f t="shared" si="26"/>
        <v>0</v>
      </c>
      <c r="Y41" s="85">
        <f t="shared" si="26"/>
        <v>0</v>
      </c>
      <c r="Z41" s="85">
        <f t="shared" si="26"/>
        <v>0</v>
      </c>
      <c r="AA41" s="85">
        <f t="shared" si="26"/>
        <v>0</v>
      </c>
      <c r="AB41" s="85">
        <f t="shared" si="26"/>
        <v>0</v>
      </c>
      <c r="AC41" s="150">
        <f t="shared" si="26"/>
        <v>0</v>
      </c>
      <c r="AD41" s="146">
        <f t="shared" si="6"/>
        <v>0</v>
      </c>
    </row>
    <row r="42" spans="1:30">
      <c r="A42" s="40"/>
      <c r="B42" s="10" t="s">
        <v>31</v>
      </c>
      <c r="C42" s="31"/>
      <c r="D42" s="31"/>
      <c r="E42" s="32"/>
      <c r="F42" s="33">
        <f>H42+I42+AD42</f>
        <v>15166.766</v>
      </c>
      <c r="G42" s="33">
        <v>1339.3050000000001</v>
      </c>
      <c r="H42" s="33">
        <v>6172.9720000000007</v>
      </c>
      <c r="I42" s="33">
        <f t="shared" ref="I42:I74" si="27">SUM(K42:O42)</f>
        <v>8993.7939999999999</v>
      </c>
      <c r="J42" s="39">
        <v>4833.6670000000004</v>
      </c>
      <c r="K42" s="33">
        <v>8993.7939999999999</v>
      </c>
      <c r="L42" s="33">
        <v>0</v>
      </c>
      <c r="M42" s="33">
        <v>0</v>
      </c>
      <c r="N42" s="87">
        <v>0</v>
      </c>
      <c r="O42" s="87">
        <v>0</v>
      </c>
      <c r="P42" s="87">
        <v>0</v>
      </c>
      <c r="Q42" s="87">
        <v>0</v>
      </c>
      <c r="R42" s="119">
        <f t="shared" si="2"/>
        <v>0</v>
      </c>
      <c r="S42" s="87">
        <v>0</v>
      </c>
      <c r="T42" s="87">
        <v>0</v>
      </c>
      <c r="U42" s="87">
        <v>0</v>
      </c>
      <c r="V42" s="87">
        <v>0</v>
      </c>
      <c r="W42" s="87">
        <v>0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161">
        <v>0</v>
      </c>
      <c r="AD42" s="148">
        <f t="shared" si="6"/>
        <v>0</v>
      </c>
    </row>
    <row r="43" spans="1:30">
      <c r="A43" s="40"/>
      <c r="B43" s="38" t="s">
        <v>41</v>
      </c>
      <c r="C43" s="31"/>
      <c r="D43" s="31"/>
      <c r="E43" s="32"/>
      <c r="F43" s="33">
        <f>H43+I43+AD43</f>
        <v>67228.054000000004</v>
      </c>
      <c r="G43" s="33">
        <v>693.47400000000005</v>
      </c>
      <c r="H43" s="33">
        <v>23399.134999999998</v>
      </c>
      <c r="I43" s="33">
        <f t="shared" si="27"/>
        <v>43828.919000000002</v>
      </c>
      <c r="J43" s="39">
        <v>22705.661</v>
      </c>
      <c r="K43" s="33">
        <v>43828.919000000002</v>
      </c>
      <c r="L43" s="33">
        <v>0</v>
      </c>
      <c r="M43" s="33">
        <v>0</v>
      </c>
      <c r="N43" s="87">
        <v>0</v>
      </c>
      <c r="O43" s="87">
        <v>0</v>
      </c>
      <c r="P43" s="87">
        <v>0</v>
      </c>
      <c r="Q43" s="87">
        <v>0</v>
      </c>
      <c r="R43" s="119">
        <f t="shared" si="2"/>
        <v>0</v>
      </c>
      <c r="S43" s="87">
        <v>0</v>
      </c>
      <c r="T43" s="87">
        <v>0</v>
      </c>
      <c r="U43" s="87">
        <v>0</v>
      </c>
      <c r="V43" s="87">
        <v>0</v>
      </c>
      <c r="W43" s="87">
        <v>0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161">
        <v>0</v>
      </c>
      <c r="AD43" s="148">
        <f t="shared" si="6"/>
        <v>0</v>
      </c>
    </row>
    <row r="44" spans="1:30" ht="45">
      <c r="A44" s="20">
        <v>13</v>
      </c>
      <c r="B44" s="23" t="s">
        <v>59</v>
      </c>
      <c r="C44" s="24" t="s">
        <v>409</v>
      </c>
      <c r="D44" s="25" t="s">
        <v>391</v>
      </c>
      <c r="E44" s="26">
        <f>F45</f>
        <v>17071.483</v>
      </c>
      <c r="F44" s="27">
        <f>F45+F46</f>
        <v>17141.936000000002</v>
      </c>
      <c r="G44" s="27">
        <f>G45+G46</f>
        <v>0</v>
      </c>
      <c r="H44" s="27">
        <f>H45+H46</f>
        <v>0</v>
      </c>
      <c r="I44" s="28">
        <f t="shared" si="27"/>
        <v>3294.299</v>
      </c>
      <c r="J44" s="27">
        <f t="shared" ref="J44:Q44" si="28">J45+J46</f>
        <v>0</v>
      </c>
      <c r="K44" s="27">
        <f t="shared" si="28"/>
        <v>0</v>
      </c>
      <c r="L44" s="27">
        <f t="shared" si="28"/>
        <v>160</v>
      </c>
      <c r="M44" s="27">
        <f t="shared" si="28"/>
        <v>164.95</v>
      </c>
      <c r="N44" s="85">
        <f t="shared" si="28"/>
        <v>280.28699999999992</v>
      </c>
      <c r="O44" s="85">
        <f t="shared" si="28"/>
        <v>2689.0619999999999</v>
      </c>
      <c r="P44" s="85">
        <f t="shared" si="28"/>
        <v>5143.3</v>
      </c>
      <c r="Q44" s="85">
        <f t="shared" si="28"/>
        <v>8704.3369999999995</v>
      </c>
      <c r="R44" s="118">
        <f t="shared" si="2"/>
        <v>0</v>
      </c>
      <c r="S44" s="85">
        <f>S45+S46</f>
        <v>0</v>
      </c>
      <c r="T44" s="85">
        <f t="shared" ref="T44:AC44" si="29">T45+T46</f>
        <v>0</v>
      </c>
      <c r="U44" s="85">
        <f t="shared" si="29"/>
        <v>0</v>
      </c>
      <c r="V44" s="85">
        <f t="shared" si="29"/>
        <v>0</v>
      </c>
      <c r="W44" s="85">
        <f t="shared" si="29"/>
        <v>0</v>
      </c>
      <c r="X44" s="85">
        <f t="shared" si="29"/>
        <v>0</v>
      </c>
      <c r="Y44" s="85">
        <f t="shared" si="29"/>
        <v>0</v>
      </c>
      <c r="Z44" s="85">
        <f t="shared" si="29"/>
        <v>0</v>
      </c>
      <c r="AA44" s="85">
        <f t="shared" si="29"/>
        <v>0</v>
      </c>
      <c r="AB44" s="85">
        <f t="shared" si="29"/>
        <v>0</v>
      </c>
      <c r="AC44" s="150">
        <f t="shared" si="29"/>
        <v>0</v>
      </c>
      <c r="AD44" s="146">
        <f t="shared" si="6"/>
        <v>13847.636999999999</v>
      </c>
    </row>
    <row r="45" spans="1:30">
      <c r="A45" s="29"/>
      <c r="B45" s="10" t="s">
        <v>31</v>
      </c>
      <c r="C45" s="33"/>
      <c r="D45" s="33"/>
      <c r="E45" s="33"/>
      <c r="F45" s="33">
        <f>H45+I45+AD45</f>
        <v>17071.483</v>
      </c>
      <c r="G45" s="33">
        <v>0</v>
      </c>
      <c r="H45" s="33">
        <v>0</v>
      </c>
      <c r="I45" s="33">
        <f t="shared" si="27"/>
        <v>3223.8459999999995</v>
      </c>
      <c r="J45" s="11">
        <v>0</v>
      </c>
      <c r="K45" s="11">
        <v>0</v>
      </c>
      <c r="L45" s="12">
        <v>160</v>
      </c>
      <c r="M45" s="12">
        <f>130.73-36.9+0.667</f>
        <v>94.496999999999986</v>
      </c>
      <c r="N45" s="90">
        <v>280.28699999999992</v>
      </c>
      <c r="O45" s="94">
        <v>2689.0619999999999</v>
      </c>
      <c r="P45" s="91">
        <v>5143.3</v>
      </c>
      <c r="Q45" s="91">
        <v>8704.3369999999995</v>
      </c>
      <c r="R45" s="119">
        <f t="shared" si="2"/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163">
        <v>0</v>
      </c>
      <c r="AD45" s="148">
        <f t="shared" si="6"/>
        <v>13847.636999999999</v>
      </c>
    </row>
    <row r="46" spans="1:30">
      <c r="A46" s="29"/>
      <c r="B46" s="38" t="s">
        <v>41</v>
      </c>
      <c r="C46" s="33"/>
      <c r="D46" s="33"/>
      <c r="E46" s="33"/>
      <c r="F46" s="33">
        <f>H46+I46+AD46</f>
        <v>70.453000000000003</v>
      </c>
      <c r="G46" s="33">
        <v>0</v>
      </c>
      <c r="H46" s="33">
        <v>0</v>
      </c>
      <c r="I46" s="33">
        <f t="shared" si="27"/>
        <v>70.453000000000003</v>
      </c>
      <c r="J46" s="11">
        <v>0</v>
      </c>
      <c r="K46" s="11">
        <v>0</v>
      </c>
      <c r="L46" s="42">
        <v>0</v>
      </c>
      <c r="M46" s="12">
        <v>70.453000000000003</v>
      </c>
      <c r="N46" s="90">
        <v>0</v>
      </c>
      <c r="O46" s="90">
        <v>0</v>
      </c>
      <c r="P46" s="91">
        <v>0</v>
      </c>
      <c r="Q46" s="91">
        <v>0</v>
      </c>
      <c r="R46" s="119">
        <f t="shared" si="2"/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163">
        <v>0</v>
      </c>
      <c r="AD46" s="148">
        <f t="shared" si="6"/>
        <v>0</v>
      </c>
    </row>
    <row r="47" spans="1:30" ht="22.5">
      <c r="A47" s="20">
        <v>14</v>
      </c>
      <c r="B47" s="37" t="s">
        <v>61</v>
      </c>
      <c r="C47" s="24" t="s">
        <v>62</v>
      </c>
      <c r="D47" s="25" t="s">
        <v>63</v>
      </c>
      <c r="E47" s="26">
        <f>F48</f>
        <v>35331.014999999999</v>
      </c>
      <c r="F47" s="27">
        <f>F48+F49</f>
        <v>36331.014999999999</v>
      </c>
      <c r="G47" s="27">
        <f>G48+G49</f>
        <v>7549.6989999999996</v>
      </c>
      <c r="H47" s="27">
        <f>H48+H49</f>
        <v>10649.699000000001</v>
      </c>
      <c r="I47" s="28">
        <f t="shared" si="27"/>
        <v>25681.316000000003</v>
      </c>
      <c r="J47" s="27">
        <f t="shared" ref="J47:Q47" si="30">J48+J49</f>
        <v>3100</v>
      </c>
      <c r="K47" s="27">
        <f t="shared" si="30"/>
        <v>22010.631000000001</v>
      </c>
      <c r="L47" s="27">
        <f t="shared" si="30"/>
        <v>3670.6849999999999</v>
      </c>
      <c r="M47" s="27">
        <f t="shared" si="30"/>
        <v>0</v>
      </c>
      <c r="N47" s="85">
        <f t="shared" si="30"/>
        <v>0</v>
      </c>
      <c r="O47" s="85">
        <f t="shared" si="30"/>
        <v>0</v>
      </c>
      <c r="P47" s="85">
        <f t="shared" si="30"/>
        <v>0</v>
      </c>
      <c r="Q47" s="85">
        <f t="shared" si="30"/>
        <v>0</v>
      </c>
      <c r="R47" s="118">
        <f t="shared" si="2"/>
        <v>0</v>
      </c>
      <c r="S47" s="85">
        <f>S48+S49</f>
        <v>0</v>
      </c>
      <c r="T47" s="85">
        <f t="shared" ref="T47:AC47" si="31">T48+T49</f>
        <v>0</v>
      </c>
      <c r="U47" s="85">
        <f t="shared" si="31"/>
        <v>0</v>
      </c>
      <c r="V47" s="85">
        <f t="shared" si="31"/>
        <v>0</v>
      </c>
      <c r="W47" s="85">
        <f t="shared" si="31"/>
        <v>0</v>
      </c>
      <c r="X47" s="85">
        <f t="shared" si="31"/>
        <v>0</v>
      </c>
      <c r="Y47" s="85">
        <f t="shared" si="31"/>
        <v>0</v>
      </c>
      <c r="Z47" s="85">
        <f t="shared" si="31"/>
        <v>0</v>
      </c>
      <c r="AA47" s="85">
        <f t="shared" si="31"/>
        <v>0</v>
      </c>
      <c r="AB47" s="85">
        <f t="shared" si="31"/>
        <v>0</v>
      </c>
      <c r="AC47" s="150">
        <f t="shared" si="31"/>
        <v>0</v>
      </c>
      <c r="AD47" s="146">
        <f t="shared" si="6"/>
        <v>0</v>
      </c>
    </row>
    <row r="48" spans="1:30">
      <c r="A48" s="40"/>
      <c r="B48" s="10" t="s">
        <v>31</v>
      </c>
      <c r="C48" s="30"/>
      <c r="D48" s="31"/>
      <c r="E48" s="32"/>
      <c r="F48" s="33">
        <f>H48+I48+AD48</f>
        <v>35331.014999999999</v>
      </c>
      <c r="G48" s="34">
        <v>7549.6989999999996</v>
      </c>
      <c r="H48" s="33">
        <v>9649.6990000000005</v>
      </c>
      <c r="I48" s="33">
        <f t="shared" si="27"/>
        <v>25681.316000000003</v>
      </c>
      <c r="J48" s="34">
        <v>2100</v>
      </c>
      <c r="K48" s="34">
        <v>22010.631000000001</v>
      </c>
      <c r="L48" s="34">
        <v>3670.6849999999999</v>
      </c>
      <c r="M48" s="34">
        <v>0</v>
      </c>
      <c r="N48" s="92">
        <v>0</v>
      </c>
      <c r="O48" s="92">
        <v>0</v>
      </c>
      <c r="P48" s="92">
        <v>0</v>
      </c>
      <c r="Q48" s="93">
        <v>0</v>
      </c>
      <c r="R48" s="119">
        <f t="shared" si="2"/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  <c r="Z48" s="92">
        <v>0</v>
      </c>
      <c r="AA48" s="92">
        <v>0</v>
      </c>
      <c r="AB48" s="92">
        <v>0</v>
      </c>
      <c r="AC48" s="164">
        <v>0</v>
      </c>
      <c r="AD48" s="148">
        <f t="shared" si="6"/>
        <v>0</v>
      </c>
    </row>
    <row r="49" spans="1:246">
      <c r="A49" s="40"/>
      <c r="B49" s="10" t="s">
        <v>32</v>
      </c>
      <c r="C49" s="30"/>
      <c r="D49" s="31"/>
      <c r="E49" s="32"/>
      <c r="F49" s="33">
        <f>H49+I49+AD49</f>
        <v>1000</v>
      </c>
      <c r="G49" s="34">
        <v>0</v>
      </c>
      <c r="H49" s="33">
        <v>1000</v>
      </c>
      <c r="I49" s="33">
        <f t="shared" si="27"/>
        <v>0</v>
      </c>
      <c r="J49" s="34">
        <v>1000</v>
      </c>
      <c r="K49" s="34">
        <v>0</v>
      </c>
      <c r="L49" s="34">
        <v>0</v>
      </c>
      <c r="M49" s="34">
        <v>0</v>
      </c>
      <c r="N49" s="92">
        <v>0</v>
      </c>
      <c r="O49" s="92">
        <v>0</v>
      </c>
      <c r="P49" s="92">
        <v>0</v>
      </c>
      <c r="Q49" s="92">
        <v>0</v>
      </c>
      <c r="R49" s="119">
        <f t="shared" si="2"/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164">
        <v>0</v>
      </c>
      <c r="AD49" s="148">
        <f t="shared" si="6"/>
        <v>0</v>
      </c>
    </row>
    <row r="50" spans="1:246" ht="22.5">
      <c r="A50" s="20">
        <v>15</v>
      </c>
      <c r="B50" s="37" t="s">
        <v>64</v>
      </c>
      <c r="C50" s="24" t="s">
        <v>43</v>
      </c>
      <c r="D50" s="25" t="s">
        <v>65</v>
      </c>
      <c r="E50" s="26">
        <f>F51</f>
        <v>4516.1190000000006</v>
      </c>
      <c r="F50" s="27">
        <f>F51+F52</f>
        <v>7361.0480000000007</v>
      </c>
      <c r="G50" s="27">
        <f>G51+G52</f>
        <v>651.79700000000003</v>
      </c>
      <c r="H50" s="27">
        <f>H51+H52</f>
        <v>1079.797</v>
      </c>
      <c r="I50" s="28">
        <f t="shared" si="27"/>
        <v>6281.2510000000002</v>
      </c>
      <c r="J50" s="27">
        <f t="shared" ref="J50:Q50" si="32">J51+J52</f>
        <v>428</v>
      </c>
      <c r="K50" s="27">
        <f t="shared" si="32"/>
        <v>6281.2510000000002</v>
      </c>
      <c r="L50" s="27">
        <f t="shared" si="32"/>
        <v>0</v>
      </c>
      <c r="M50" s="27">
        <f t="shared" si="32"/>
        <v>0</v>
      </c>
      <c r="N50" s="85">
        <f t="shared" si="32"/>
        <v>0</v>
      </c>
      <c r="O50" s="85">
        <f t="shared" si="32"/>
        <v>0</v>
      </c>
      <c r="P50" s="85">
        <f t="shared" si="32"/>
        <v>0</v>
      </c>
      <c r="Q50" s="85">
        <f t="shared" si="32"/>
        <v>0</v>
      </c>
      <c r="R50" s="118">
        <f t="shared" si="2"/>
        <v>0</v>
      </c>
      <c r="S50" s="85">
        <f>S51+S52</f>
        <v>0</v>
      </c>
      <c r="T50" s="85">
        <f t="shared" ref="T50:AC50" si="33">T51+T52</f>
        <v>0</v>
      </c>
      <c r="U50" s="85">
        <f t="shared" si="33"/>
        <v>0</v>
      </c>
      <c r="V50" s="85">
        <f t="shared" si="33"/>
        <v>0</v>
      </c>
      <c r="W50" s="85">
        <f t="shared" si="33"/>
        <v>0</v>
      </c>
      <c r="X50" s="85">
        <f t="shared" si="33"/>
        <v>0</v>
      </c>
      <c r="Y50" s="85">
        <f t="shared" si="33"/>
        <v>0</v>
      </c>
      <c r="Z50" s="85">
        <f t="shared" si="33"/>
        <v>0</v>
      </c>
      <c r="AA50" s="85">
        <f t="shared" si="33"/>
        <v>0</v>
      </c>
      <c r="AB50" s="85">
        <f t="shared" si="33"/>
        <v>0</v>
      </c>
      <c r="AC50" s="150">
        <f t="shared" si="33"/>
        <v>0</v>
      </c>
      <c r="AD50" s="146">
        <f t="shared" si="6"/>
        <v>0</v>
      </c>
    </row>
    <row r="51" spans="1:246">
      <c r="A51" s="40"/>
      <c r="B51" s="10" t="s">
        <v>31</v>
      </c>
      <c r="C51" s="30"/>
      <c r="D51" s="31"/>
      <c r="E51" s="32"/>
      <c r="F51" s="33">
        <f>H51+I51+AD51</f>
        <v>4516.1190000000006</v>
      </c>
      <c r="G51" s="34">
        <v>651.79700000000003</v>
      </c>
      <c r="H51" s="33">
        <v>1079.797</v>
      </c>
      <c r="I51" s="33">
        <f t="shared" si="27"/>
        <v>3436.3220000000001</v>
      </c>
      <c r="J51" s="33">
        <v>428</v>
      </c>
      <c r="K51" s="33">
        <v>3436.3220000000001</v>
      </c>
      <c r="L51" s="33">
        <v>0</v>
      </c>
      <c r="M51" s="33">
        <v>0</v>
      </c>
      <c r="N51" s="87">
        <v>0</v>
      </c>
      <c r="O51" s="87">
        <v>0</v>
      </c>
      <c r="P51" s="87">
        <v>0</v>
      </c>
      <c r="Q51" s="87">
        <v>0</v>
      </c>
      <c r="R51" s="119">
        <f t="shared" si="2"/>
        <v>0</v>
      </c>
      <c r="S51" s="87">
        <v>0</v>
      </c>
      <c r="T51" s="87">
        <v>0</v>
      </c>
      <c r="U51" s="87">
        <v>0</v>
      </c>
      <c r="V51" s="87">
        <v>0</v>
      </c>
      <c r="W51" s="87">
        <v>0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161">
        <v>0</v>
      </c>
      <c r="AD51" s="148">
        <f t="shared" si="6"/>
        <v>0</v>
      </c>
    </row>
    <row r="52" spans="1:246">
      <c r="A52" s="40"/>
      <c r="B52" s="10" t="s">
        <v>32</v>
      </c>
      <c r="C52" s="30"/>
      <c r="D52" s="31"/>
      <c r="E52" s="32"/>
      <c r="F52" s="33">
        <f>H52+I52+AD52</f>
        <v>2844.9290000000001</v>
      </c>
      <c r="G52" s="34">
        <v>0</v>
      </c>
      <c r="H52" s="33">
        <v>0</v>
      </c>
      <c r="I52" s="33">
        <f t="shared" si="27"/>
        <v>2844.9290000000001</v>
      </c>
      <c r="J52" s="33">
        <v>0</v>
      </c>
      <c r="K52" s="33">
        <v>2844.9290000000001</v>
      </c>
      <c r="L52" s="33">
        <v>0</v>
      </c>
      <c r="M52" s="33">
        <v>0</v>
      </c>
      <c r="N52" s="87">
        <v>0</v>
      </c>
      <c r="O52" s="87">
        <v>0</v>
      </c>
      <c r="P52" s="87">
        <v>0</v>
      </c>
      <c r="Q52" s="87">
        <v>0</v>
      </c>
      <c r="R52" s="119">
        <f t="shared" si="2"/>
        <v>0</v>
      </c>
      <c r="S52" s="87">
        <v>0</v>
      </c>
      <c r="T52" s="87">
        <v>0</v>
      </c>
      <c r="U52" s="87">
        <v>0</v>
      </c>
      <c r="V52" s="87">
        <v>0</v>
      </c>
      <c r="W52" s="87">
        <v>0</v>
      </c>
      <c r="X52" s="87">
        <v>0</v>
      </c>
      <c r="Y52" s="87">
        <v>0</v>
      </c>
      <c r="Z52" s="87">
        <v>0</v>
      </c>
      <c r="AA52" s="87">
        <v>0</v>
      </c>
      <c r="AB52" s="87">
        <v>0</v>
      </c>
      <c r="AC52" s="161">
        <v>0</v>
      </c>
      <c r="AD52" s="148">
        <f t="shared" si="6"/>
        <v>0</v>
      </c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</row>
    <row r="53" spans="1:246" ht="22.5">
      <c r="A53" s="20">
        <v>16</v>
      </c>
      <c r="B53" s="23" t="s">
        <v>66</v>
      </c>
      <c r="C53" s="41" t="s">
        <v>51</v>
      </c>
      <c r="D53" s="25" t="s">
        <v>395</v>
      </c>
      <c r="E53" s="26">
        <f>F54</f>
        <v>123471.36</v>
      </c>
      <c r="F53" s="27">
        <f>F54+F55</f>
        <v>399308.076</v>
      </c>
      <c r="G53" s="27">
        <f>G54+G55</f>
        <v>13491.543</v>
      </c>
      <c r="H53" s="27">
        <f>H54+H55</f>
        <v>19671.785</v>
      </c>
      <c r="I53" s="28">
        <f t="shared" si="27"/>
        <v>179597.61199999999</v>
      </c>
      <c r="J53" s="27">
        <f t="shared" ref="J53:N53" si="34">J54+J55</f>
        <v>6180.2420000000002</v>
      </c>
      <c r="K53" s="27">
        <f t="shared" si="34"/>
        <v>1316.508</v>
      </c>
      <c r="L53" s="27">
        <f t="shared" si="34"/>
        <v>101.178</v>
      </c>
      <c r="M53" s="27">
        <f t="shared" si="34"/>
        <v>87656.599999999991</v>
      </c>
      <c r="N53" s="85">
        <f t="shared" si="34"/>
        <v>81851.95199999999</v>
      </c>
      <c r="O53" s="85">
        <f>O54+O55+O56</f>
        <v>8671.3739999999998</v>
      </c>
      <c r="P53" s="85">
        <f t="shared" ref="P53:Q53" si="35">P54+P55+P56</f>
        <v>6562.1679999999997</v>
      </c>
      <c r="Q53" s="85">
        <f t="shared" si="35"/>
        <v>80005.000999999989</v>
      </c>
      <c r="R53" s="118">
        <f t="shared" si="2"/>
        <v>126034.41699999999</v>
      </c>
      <c r="S53" s="85">
        <f t="shared" ref="S53" si="36">S54+S55+S56</f>
        <v>84081.267999999996</v>
      </c>
      <c r="T53" s="85">
        <f t="shared" ref="T53" si="37">T54+T55+T56</f>
        <v>41953.148999999998</v>
      </c>
      <c r="U53" s="85">
        <f t="shared" ref="U53" si="38">U54+U55+U56</f>
        <v>0</v>
      </c>
      <c r="V53" s="85">
        <f t="shared" ref="V53" si="39">V54+V55+V56</f>
        <v>0</v>
      </c>
      <c r="W53" s="85">
        <f t="shared" ref="W53" si="40">W54+W55+W56</f>
        <v>0</v>
      </c>
      <c r="X53" s="85">
        <f t="shared" ref="X53" si="41">X54+X55+X56</f>
        <v>0</v>
      </c>
      <c r="Y53" s="85">
        <f t="shared" ref="Y53:AC53" si="42">Y54+Y55</f>
        <v>0</v>
      </c>
      <c r="Z53" s="85">
        <f t="shared" si="42"/>
        <v>0</v>
      </c>
      <c r="AA53" s="85">
        <f t="shared" si="42"/>
        <v>0</v>
      </c>
      <c r="AB53" s="85">
        <f t="shared" si="42"/>
        <v>0</v>
      </c>
      <c r="AC53" s="150">
        <f t="shared" si="42"/>
        <v>0</v>
      </c>
      <c r="AD53" s="146">
        <f t="shared" si="6"/>
        <v>212601.58599999998</v>
      </c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</row>
    <row r="54" spans="1:246">
      <c r="A54" s="40"/>
      <c r="B54" s="10" t="s">
        <v>31</v>
      </c>
      <c r="C54" s="31"/>
      <c r="D54" s="31"/>
      <c r="E54" s="32"/>
      <c r="F54" s="33">
        <f>H54+I54+AD54</f>
        <v>123471.36</v>
      </c>
      <c r="G54" s="33">
        <v>13491.543</v>
      </c>
      <c r="H54" s="33">
        <v>19671.785</v>
      </c>
      <c r="I54" s="33">
        <f t="shared" si="27"/>
        <v>40509.866999999998</v>
      </c>
      <c r="J54" s="33">
        <v>6180.2420000000002</v>
      </c>
      <c r="K54" s="33">
        <v>1316.508</v>
      </c>
      <c r="L54" s="33">
        <v>101.178</v>
      </c>
      <c r="M54" s="35">
        <f>13133.567+99.489</f>
        <v>13233.055999999999</v>
      </c>
      <c r="N54" s="86">
        <f>20765.009+3025.017</f>
        <v>23790.025999999998</v>
      </c>
      <c r="O54" s="86">
        <f>222.997+1846.102</f>
        <v>2069.0990000000002</v>
      </c>
      <c r="P54" s="86">
        <f>1999.963+2384.331</f>
        <v>4384.2939999999999</v>
      </c>
      <c r="Q54" s="86">
        <f>28458.094+2000</f>
        <v>30458.094000000001</v>
      </c>
      <c r="R54" s="119">
        <f t="shared" si="2"/>
        <v>28447.32</v>
      </c>
      <c r="S54" s="86">
        <f>2237.354+17150.076</f>
        <v>19387.43</v>
      </c>
      <c r="T54" s="86">
        <f>8713.741+346.149</f>
        <v>9059.89</v>
      </c>
      <c r="U54" s="87">
        <v>0</v>
      </c>
      <c r="V54" s="87">
        <v>0</v>
      </c>
      <c r="W54" s="87">
        <v>0</v>
      </c>
      <c r="X54" s="87">
        <v>0</v>
      </c>
      <c r="Y54" s="87">
        <v>0</v>
      </c>
      <c r="Z54" s="87">
        <v>0</v>
      </c>
      <c r="AA54" s="87">
        <v>0</v>
      </c>
      <c r="AB54" s="87">
        <v>0</v>
      </c>
      <c r="AC54" s="161">
        <v>0</v>
      </c>
      <c r="AD54" s="148">
        <f t="shared" si="6"/>
        <v>63289.707999999999</v>
      </c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</row>
    <row r="55" spans="1:246">
      <c r="A55" s="40"/>
      <c r="B55" s="38" t="s">
        <v>41</v>
      </c>
      <c r="C55" s="31"/>
      <c r="D55" s="31"/>
      <c r="E55" s="32"/>
      <c r="F55" s="33">
        <f>H55+I55+AD55</f>
        <v>275836.71600000001</v>
      </c>
      <c r="G55" s="33">
        <v>0</v>
      </c>
      <c r="H55" s="33">
        <v>0</v>
      </c>
      <c r="I55" s="33">
        <f t="shared" si="27"/>
        <v>139087.745</v>
      </c>
      <c r="J55" s="33">
        <v>0</v>
      </c>
      <c r="K55" s="33">
        <v>0</v>
      </c>
      <c r="L55" s="33">
        <v>0</v>
      </c>
      <c r="M55" s="33">
        <v>74423.543999999994</v>
      </c>
      <c r="N55" s="86">
        <v>58061.925999999999</v>
      </c>
      <c r="O55" s="86">
        <v>6602.2749999999996</v>
      </c>
      <c r="P55" s="86">
        <v>2177.8739999999998</v>
      </c>
      <c r="Q55" s="86">
        <v>43265.453999999998</v>
      </c>
      <c r="R55" s="119">
        <f t="shared" si="2"/>
        <v>91305.642999999996</v>
      </c>
      <c r="S55" s="86">
        <v>58412.383999999998</v>
      </c>
      <c r="T55" s="86">
        <v>32893.258999999998</v>
      </c>
      <c r="U55" s="87">
        <v>0</v>
      </c>
      <c r="V55" s="87">
        <v>0</v>
      </c>
      <c r="W55" s="87">
        <v>0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161">
        <v>0</v>
      </c>
      <c r="AD55" s="148">
        <f t="shared" si="6"/>
        <v>136748.97099999999</v>
      </c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</row>
    <row r="56" spans="1:246">
      <c r="A56" s="40"/>
      <c r="B56" s="38" t="s">
        <v>32</v>
      </c>
      <c r="C56" s="31"/>
      <c r="D56" s="31"/>
      <c r="E56" s="32"/>
      <c r="F56" s="33">
        <f>H56+I56+AD56</f>
        <v>12562.906999999999</v>
      </c>
      <c r="G56" s="33"/>
      <c r="H56" s="33"/>
      <c r="I56" s="33">
        <f t="shared" si="27"/>
        <v>0</v>
      </c>
      <c r="J56" s="33"/>
      <c r="K56" s="33"/>
      <c r="L56" s="33"/>
      <c r="M56" s="33"/>
      <c r="N56" s="86"/>
      <c r="O56" s="86">
        <v>0</v>
      </c>
      <c r="P56" s="86">
        <v>0</v>
      </c>
      <c r="Q56" s="86">
        <v>6281.4530000000004</v>
      </c>
      <c r="R56" s="119">
        <f t="shared" si="2"/>
        <v>6281.4539999999997</v>
      </c>
      <c r="S56" s="86">
        <v>6281.4539999999997</v>
      </c>
      <c r="T56" s="86">
        <v>0</v>
      </c>
      <c r="U56" s="87">
        <v>0</v>
      </c>
      <c r="V56" s="87">
        <v>0</v>
      </c>
      <c r="W56" s="87">
        <v>0</v>
      </c>
      <c r="X56" s="87">
        <v>0</v>
      </c>
      <c r="Y56" s="87"/>
      <c r="Z56" s="87"/>
      <c r="AA56" s="87"/>
      <c r="AB56" s="87"/>
      <c r="AC56" s="161"/>
      <c r="AD56" s="148">
        <f t="shared" si="6"/>
        <v>12562.906999999999</v>
      </c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</row>
    <row r="57" spans="1:246" ht="29.25">
      <c r="A57" s="20">
        <v>17</v>
      </c>
      <c r="B57" s="37" t="s">
        <v>68</v>
      </c>
      <c r="C57" s="24" t="s">
        <v>415</v>
      </c>
      <c r="D57" s="25" t="s">
        <v>394</v>
      </c>
      <c r="E57" s="26">
        <f>F58</f>
        <v>597353.54500000004</v>
      </c>
      <c r="F57" s="27">
        <f>F58+F59</f>
        <v>617505.94200000004</v>
      </c>
      <c r="G57" s="27">
        <f>G58+G59</f>
        <v>169125.05600000001</v>
      </c>
      <c r="H57" s="27">
        <f>H58+H59</f>
        <v>194465.30200000003</v>
      </c>
      <c r="I57" s="28">
        <f t="shared" si="27"/>
        <v>186210.52000000002</v>
      </c>
      <c r="J57" s="27">
        <f t="shared" ref="J57:Q57" si="43">J58+J59</f>
        <v>17309.496000000003</v>
      </c>
      <c r="K57" s="27">
        <f t="shared" si="43"/>
        <v>34676.855000000003</v>
      </c>
      <c r="L57" s="27">
        <f t="shared" si="43"/>
        <v>32491.425999999999</v>
      </c>
      <c r="M57" s="27">
        <f t="shared" si="43"/>
        <v>37873.118000000002</v>
      </c>
      <c r="N57" s="85">
        <f t="shared" si="43"/>
        <v>41415.453000000001</v>
      </c>
      <c r="O57" s="85">
        <f t="shared" si="43"/>
        <v>39753.667999999998</v>
      </c>
      <c r="P57" s="85">
        <f t="shared" si="43"/>
        <v>59142.743999999999</v>
      </c>
      <c r="Q57" s="85">
        <f t="shared" si="43"/>
        <v>42151.627</v>
      </c>
      <c r="R57" s="118">
        <f t="shared" si="2"/>
        <v>135535.74900000001</v>
      </c>
      <c r="S57" s="85">
        <f>S58+S59</f>
        <v>24033.547999999999</v>
      </c>
      <c r="T57" s="85">
        <f t="shared" ref="T57:AC57" si="44">T58+T59</f>
        <v>82820.201000000001</v>
      </c>
      <c r="U57" s="85">
        <f t="shared" si="44"/>
        <v>28682</v>
      </c>
      <c r="V57" s="85">
        <f t="shared" si="44"/>
        <v>0</v>
      </c>
      <c r="W57" s="85">
        <f t="shared" si="44"/>
        <v>0</v>
      </c>
      <c r="X57" s="85">
        <f t="shared" si="44"/>
        <v>0</v>
      </c>
      <c r="Y57" s="85">
        <f t="shared" si="44"/>
        <v>0</v>
      </c>
      <c r="Z57" s="85">
        <f t="shared" si="44"/>
        <v>0</v>
      </c>
      <c r="AA57" s="85">
        <f t="shared" si="44"/>
        <v>0</v>
      </c>
      <c r="AB57" s="85">
        <f t="shared" si="44"/>
        <v>0</v>
      </c>
      <c r="AC57" s="150">
        <f t="shared" si="44"/>
        <v>0</v>
      </c>
      <c r="AD57" s="146">
        <f t="shared" si="6"/>
        <v>236830.12</v>
      </c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</row>
    <row r="58" spans="1:246">
      <c r="A58" s="40"/>
      <c r="B58" s="10" t="s">
        <v>31</v>
      </c>
      <c r="C58" s="30"/>
      <c r="D58" s="31"/>
      <c r="E58" s="32"/>
      <c r="F58" s="33">
        <f>H58+I58+AD58</f>
        <v>597353.54500000004</v>
      </c>
      <c r="G58" s="34">
        <v>169125.05600000001</v>
      </c>
      <c r="H58" s="33">
        <v>186434.55200000003</v>
      </c>
      <c r="I58" s="33">
        <f t="shared" si="27"/>
        <v>178179.77000000002</v>
      </c>
      <c r="J58" s="33">
        <v>17309.496000000003</v>
      </c>
      <c r="K58" s="33">
        <v>34676.855000000003</v>
      </c>
      <c r="L58" s="33">
        <v>25991.425999999999</v>
      </c>
      <c r="M58" s="35">
        <v>36342.368000000002</v>
      </c>
      <c r="N58" s="86">
        <v>41415.453000000001</v>
      </c>
      <c r="O58" s="86">
        <v>39753.667999999998</v>
      </c>
      <c r="P58" s="86">
        <v>58770.756000000001</v>
      </c>
      <c r="Q58" s="86">
        <v>38432.718000000001</v>
      </c>
      <c r="R58" s="119">
        <f t="shared" si="2"/>
        <v>135535.74900000001</v>
      </c>
      <c r="S58" s="86">
        <v>24033.547999999999</v>
      </c>
      <c r="T58" s="86">
        <v>82820.201000000001</v>
      </c>
      <c r="U58" s="86">
        <v>28682</v>
      </c>
      <c r="V58" s="86">
        <v>0</v>
      </c>
      <c r="W58" s="87">
        <v>0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161">
        <v>0</v>
      </c>
      <c r="AD58" s="148">
        <f t="shared" si="6"/>
        <v>232739.223</v>
      </c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</row>
    <row r="59" spans="1:246">
      <c r="A59" s="40"/>
      <c r="B59" s="10" t="s">
        <v>32</v>
      </c>
      <c r="C59" s="30"/>
      <c r="D59" s="31"/>
      <c r="E59" s="32"/>
      <c r="F59" s="33">
        <f>H59+I59+AD59</f>
        <v>20152.397000000001</v>
      </c>
      <c r="G59" s="34">
        <v>0</v>
      </c>
      <c r="H59" s="33">
        <v>8030.75</v>
      </c>
      <c r="I59" s="33">
        <f t="shared" si="27"/>
        <v>8030.75</v>
      </c>
      <c r="J59" s="33">
        <v>0</v>
      </c>
      <c r="K59" s="33">
        <v>0</v>
      </c>
      <c r="L59" s="33">
        <v>6500</v>
      </c>
      <c r="M59" s="33">
        <v>1530.75</v>
      </c>
      <c r="N59" s="87">
        <v>0</v>
      </c>
      <c r="O59" s="87">
        <v>0</v>
      </c>
      <c r="P59" s="87">
        <v>371.988</v>
      </c>
      <c r="Q59" s="87">
        <v>3718.9090000000001</v>
      </c>
      <c r="R59" s="119">
        <f t="shared" si="2"/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161">
        <v>0</v>
      </c>
      <c r="AD59" s="148">
        <f t="shared" si="6"/>
        <v>4090.8969999999999</v>
      </c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</row>
    <row r="60" spans="1:246" ht="22.5">
      <c r="A60" s="20">
        <v>18</v>
      </c>
      <c r="B60" s="23" t="s">
        <v>69</v>
      </c>
      <c r="C60" s="24" t="s">
        <v>43</v>
      </c>
      <c r="D60" s="25" t="s">
        <v>70</v>
      </c>
      <c r="E60" s="26">
        <f>F61</f>
        <v>12829.539000000001</v>
      </c>
      <c r="F60" s="27">
        <f>F61+F62</f>
        <v>17379.539000000001</v>
      </c>
      <c r="G60" s="27">
        <f>G61+G62</f>
        <v>0</v>
      </c>
      <c r="H60" s="27">
        <f>H61+H62</f>
        <v>1055.3399999999999</v>
      </c>
      <c r="I60" s="28">
        <f t="shared" si="27"/>
        <v>16324.199000000001</v>
      </c>
      <c r="J60" s="27">
        <f t="shared" ref="J60:Q60" si="45">J61+J62</f>
        <v>1055.3399999999999</v>
      </c>
      <c r="K60" s="27">
        <f t="shared" si="45"/>
        <v>14738.575000000001</v>
      </c>
      <c r="L60" s="27">
        <f t="shared" si="45"/>
        <v>1585.624</v>
      </c>
      <c r="M60" s="27">
        <f t="shared" si="45"/>
        <v>0</v>
      </c>
      <c r="N60" s="85">
        <f t="shared" si="45"/>
        <v>0</v>
      </c>
      <c r="O60" s="85">
        <f t="shared" si="45"/>
        <v>0</v>
      </c>
      <c r="P60" s="85">
        <f t="shared" si="45"/>
        <v>0</v>
      </c>
      <c r="Q60" s="85">
        <f t="shared" si="45"/>
        <v>0</v>
      </c>
      <c r="R60" s="118">
        <f t="shared" si="2"/>
        <v>0</v>
      </c>
      <c r="S60" s="85">
        <f>S61+S62</f>
        <v>0</v>
      </c>
      <c r="T60" s="85">
        <f t="shared" ref="T60:AC60" si="46">T61+T62</f>
        <v>0</v>
      </c>
      <c r="U60" s="85">
        <f t="shared" si="46"/>
        <v>0</v>
      </c>
      <c r="V60" s="85">
        <f t="shared" si="46"/>
        <v>0</v>
      </c>
      <c r="W60" s="85">
        <f t="shared" si="46"/>
        <v>0</v>
      </c>
      <c r="X60" s="85">
        <f t="shared" si="46"/>
        <v>0</v>
      </c>
      <c r="Y60" s="85">
        <f t="shared" si="46"/>
        <v>0</v>
      </c>
      <c r="Z60" s="85">
        <f t="shared" si="46"/>
        <v>0</v>
      </c>
      <c r="AA60" s="85">
        <f t="shared" si="46"/>
        <v>0</v>
      </c>
      <c r="AB60" s="85">
        <f t="shared" si="46"/>
        <v>0</v>
      </c>
      <c r="AC60" s="150">
        <f t="shared" si="46"/>
        <v>0</v>
      </c>
      <c r="AD60" s="146">
        <f t="shared" si="6"/>
        <v>0</v>
      </c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</row>
    <row r="61" spans="1:246">
      <c r="A61" s="40"/>
      <c r="B61" s="10" t="s">
        <v>31</v>
      </c>
      <c r="C61" s="30"/>
      <c r="D61" s="31"/>
      <c r="E61" s="32"/>
      <c r="F61" s="33">
        <f>H61+I61+AD61</f>
        <v>12829.539000000001</v>
      </c>
      <c r="G61" s="34">
        <v>0</v>
      </c>
      <c r="H61" s="33">
        <v>922.697</v>
      </c>
      <c r="I61" s="33">
        <f t="shared" si="27"/>
        <v>11906.842000000001</v>
      </c>
      <c r="J61" s="34">
        <v>922.697</v>
      </c>
      <c r="K61" s="34">
        <v>10321.218000000001</v>
      </c>
      <c r="L61" s="34">
        <v>1585.624</v>
      </c>
      <c r="M61" s="34">
        <v>0</v>
      </c>
      <c r="N61" s="92">
        <v>0</v>
      </c>
      <c r="O61" s="92">
        <v>0</v>
      </c>
      <c r="P61" s="92">
        <v>0</v>
      </c>
      <c r="Q61" s="92">
        <v>0</v>
      </c>
      <c r="R61" s="119">
        <f t="shared" si="2"/>
        <v>0</v>
      </c>
      <c r="S61" s="92">
        <v>0</v>
      </c>
      <c r="T61" s="92">
        <v>0</v>
      </c>
      <c r="U61" s="92">
        <v>0</v>
      </c>
      <c r="V61" s="92">
        <v>0</v>
      </c>
      <c r="W61" s="92">
        <v>0</v>
      </c>
      <c r="X61" s="92">
        <v>0</v>
      </c>
      <c r="Y61" s="92">
        <v>0</v>
      </c>
      <c r="Z61" s="92">
        <v>0</v>
      </c>
      <c r="AA61" s="92">
        <v>0</v>
      </c>
      <c r="AB61" s="92">
        <v>0</v>
      </c>
      <c r="AC61" s="164">
        <v>0</v>
      </c>
      <c r="AD61" s="148">
        <f t="shared" si="6"/>
        <v>0</v>
      </c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</row>
    <row r="62" spans="1:246">
      <c r="A62" s="40"/>
      <c r="B62" s="10" t="s">
        <v>32</v>
      </c>
      <c r="C62" s="30"/>
      <c r="D62" s="31"/>
      <c r="E62" s="32"/>
      <c r="F62" s="33">
        <f>H62+I62+AD62</f>
        <v>4550</v>
      </c>
      <c r="G62" s="34">
        <v>0</v>
      </c>
      <c r="H62" s="33">
        <v>132.643</v>
      </c>
      <c r="I62" s="33">
        <f t="shared" si="27"/>
        <v>4417.357</v>
      </c>
      <c r="J62" s="34">
        <v>132.643</v>
      </c>
      <c r="K62" s="34">
        <v>4417.357</v>
      </c>
      <c r="L62" s="34">
        <v>0</v>
      </c>
      <c r="M62" s="34">
        <v>0</v>
      </c>
      <c r="N62" s="92">
        <v>0</v>
      </c>
      <c r="O62" s="92">
        <v>0</v>
      </c>
      <c r="P62" s="92">
        <v>0</v>
      </c>
      <c r="Q62" s="92">
        <v>0</v>
      </c>
      <c r="R62" s="119">
        <f t="shared" si="2"/>
        <v>0</v>
      </c>
      <c r="S62" s="92">
        <v>0</v>
      </c>
      <c r="T62" s="92">
        <v>0</v>
      </c>
      <c r="U62" s="92">
        <v>0</v>
      </c>
      <c r="V62" s="92">
        <v>0</v>
      </c>
      <c r="W62" s="92">
        <v>0</v>
      </c>
      <c r="X62" s="92">
        <v>0</v>
      </c>
      <c r="Y62" s="92">
        <v>0</v>
      </c>
      <c r="Z62" s="92">
        <v>0</v>
      </c>
      <c r="AA62" s="92">
        <v>0</v>
      </c>
      <c r="AB62" s="92">
        <v>0</v>
      </c>
      <c r="AC62" s="164">
        <v>0</v>
      </c>
      <c r="AD62" s="148">
        <f t="shared" si="6"/>
        <v>0</v>
      </c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</row>
    <row r="63" spans="1:246" ht="22.5">
      <c r="A63" s="20">
        <v>19</v>
      </c>
      <c r="B63" s="37" t="s">
        <v>71</v>
      </c>
      <c r="C63" s="41" t="s">
        <v>51</v>
      </c>
      <c r="D63" s="25" t="s">
        <v>44</v>
      </c>
      <c r="E63" s="26">
        <f>F64</f>
        <v>107111.86400000002</v>
      </c>
      <c r="F63" s="27">
        <f>F64</f>
        <v>107111.86400000002</v>
      </c>
      <c r="G63" s="28">
        <f>G64</f>
        <v>88398.71</v>
      </c>
      <c r="H63" s="28">
        <f>H64</f>
        <v>94416.446000000011</v>
      </c>
      <c r="I63" s="28">
        <f t="shared" si="27"/>
        <v>12695.418</v>
      </c>
      <c r="J63" s="27">
        <f>J64</f>
        <v>6017.7359999999999</v>
      </c>
      <c r="K63" s="27">
        <f t="shared" ref="K63:Q63" si="47">K64</f>
        <v>12695.418</v>
      </c>
      <c r="L63" s="27">
        <f t="shared" si="47"/>
        <v>0</v>
      </c>
      <c r="M63" s="27">
        <f t="shared" si="47"/>
        <v>0</v>
      </c>
      <c r="N63" s="85">
        <f t="shared" si="47"/>
        <v>0</v>
      </c>
      <c r="O63" s="85">
        <f t="shared" si="47"/>
        <v>0</v>
      </c>
      <c r="P63" s="85">
        <f t="shared" si="47"/>
        <v>0</v>
      </c>
      <c r="Q63" s="85">
        <f t="shared" si="47"/>
        <v>0</v>
      </c>
      <c r="R63" s="118">
        <f t="shared" si="2"/>
        <v>0</v>
      </c>
      <c r="S63" s="85">
        <f>S64</f>
        <v>0</v>
      </c>
      <c r="T63" s="85">
        <f t="shared" ref="T63:AC63" si="48">T64</f>
        <v>0</v>
      </c>
      <c r="U63" s="85">
        <f t="shared" si="48"/>
        <v>0</v>
      </c>
      <c r="V63" s="85">
        <f t="shared" si="48"/>
        <v>0</v>
      </c>
      <c r="W63" s="85">
        <f t="shared" si="48"/>
        <v>0</v>
      </c>
      <c r="X63" s="85">
        <f t="shared" si="48"/>
        <v>0</v>
      </c>
      <c r="Y63" s="85">
        <f t="shared" si="48"/>
        <v>0</v>
      </c>
      <c r="Z63" s="85">
        <f t="shared" si="48"/>
        <v>0</v>
      </c>
      <c r="AA63" s="85">
        <f t="shared" si="48"/>
        <v>0</v>
      </c>
      <c r="AB63" s="85">
        <f t="shared" si="48"/>
        <v>0</v>
      </c>
      <c r="AC63" s="150">
        <f t="shared" si="48"/>
        <v>0</v>
      </c>
      <c r="AD63" s="146">
        <f t="shared" si="6"/>
        <v>0</v>
      </c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</row>
    <row r="64" spans="1:246">
      <c r="A64" s="40"/>
      <c r="B64" s="10" t="s">
        <v>31</v>
      </c>
      <c r="C64" s="31"/>
      <c r="D64" s="31"/>
      <c r="E64" s="32"/>
      <c r="F64" s="33">
        <f>H64+I64+AD64</f>
        <v>107111.86400000002</v>
      </c>
      <c r="G64" s="33">
        <v>88398.71</v>
      </c>
      <c r="H64" s="33">
        <v>94416.446000000011</v>
      </c>
      <c r="I64" s="33">
        <f t="shared" si="27"/>
        <v>12695.418</v>
      </c>
      <c r="J64" s="33">
        <v>6017.7359999999999</v>
      </c>
      <c r="K64" s="33">
        <v>12695.418</v>
      </c>
      <c r="L64" s="33">
        <v>0</v>
      </c>
      <c r="M64" s="33">
        <v>0</v>
      </c>
      <c r="N64" s="87">
        <v>0</v>
      </c>
      <c r="O64" s="87">
        <v>0</v>
      </c>
      <c r="P64" s="87">
        <v>0</v>
      </c>
      <c r="Q64" s="87">
        <v>0</v>
      </c>
      <c r="R64" s="119">
        <f t="shared" si="2"/>
        <v>0</v>
      </c>
      <c r="S64" s="87">
        <v>0</v>
      </c>
      <c r="T64" s="87">
        <v>0</v>
      </c>
      <c r="U64" s="87">
        <v>0</v>
      </c>
      <c r="V64" s="87">
        <v>0</v>
      </c>
      <c r="W64" s="87">
        <v>0</v>
      </c>
      <c r="X64" s="87">
        <v>0</v>
      </c>
      <c r="Y64" s="87">
        <v>0</v>
      </c>
      <c r="Z64" s="87">
        <v>0</v>
      </c>
      <c r="AA64" s="87">
        <v>0</v>
      </c>
      <c r="AB64" s="87">
        <v>0</v>
      </c>
      <c r="AC64" s="161">
        <v>0</v>
      </c>
      <c r="AD64" s="148">
        <f t="shared" si="6"/>
        <v>0</v>
      </c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</row>
    <row r="65" spans="1:246" ht="22.5">
      <c r="A65" s="20">
        <v>20</v>
      </c>
      <c r="B65" s="37" t="s">
        <v>72</v>
      </c>
      <c r="C65" s="24" t="s">
        <v>51</v>
      </c>
      <c r="D65" s="43" t="s">
        <v>245</v>
      </c>
      <c r="E65" s="26">
        <f>F66</f>
        <v>23485.834000000003</v>
      </c>
      <c r="F65" s="27">
        <f>F66</f>
        <v>23485.834000000003</v>
      </c>
      <c r="G65" s="28">
        <f>G66</f>
        <v>0</v>
      </c>
      <c r="H65" s="28">
        <f>H66</f>
        <v>23.343</v>
      </c>
      <c r="I65" s="28">
        <f t="shared" si="27"/>
        <v>23462.491000000002</v>
      </c>
      <c r="J65" s="27">
        <f>J66</f>
        <v>23.343</v>
      </c>
      <c r="K65" s="27">
        <f t="shared" ref="K65:Q65" si="49">K66</f>
        <v>294.82799999999997</v>
      </c>
      <c r="L65" s="27">
        <f t="shared" si="49"/>
        <v>4510.1790000000001</v>
      </c>
      <c r="M65" s="27">
        <f t="shared" si="49"/>
        <v>5126.9470000000001</v>
      </c>
      <c r="N65" s="85">
        <f t="shared" si="49"/>
        <v>13530.537</v>
      </c>
      <c r="O65" s="85">
        <f t="shared" si="49"/>
        <v>0</v>
      </c>
      <c r="P65" s="85">
        <f t="shared" si="49"/>
        <v>0</v>
      </c>
      <c r="Q65" s="85">
        <f t="shared" si="49"/>
        <v>0</v>
      </c>
      <c r="R65" s="118">
        <f t="shared" si="2"/>
        <v>0</v>
      </c>
      <c r="S65" s="85">
        <f>S66</f>
        <v>0</v>
      </c>
      <c r="T65" s="85">
        <f t="shared" ref="T65:AC65" si="50">T66</f>
        <v>0</v>
      </c>
      <c r="U65" s="85">
        <f t="shared" si="50"/>
        <v>0</v>
      </c>
      <c r="V65" s="85">
        <f t="shared" si="50"/>
        <v>0</v>
      </c>
      <c r="W65" s="85">
        <f t="shared" si="50"/>
        <v>0</v>
      </c>
      <c r="X65" s="85">
        <f t="shared" si="50"/>
        <v>0</v>
      </c>
      <c r="Y65" s="85">
        <f t="shared" si="50"/>
        <v>0</v>
      </c>
      <c r="Z65" s="85">
        <f t="shared" si="50"/>
        <v>0</v>
      </c>
      <c r="AA65" s="85">
        <f t="shared" si="50"/>
        <v>0</v>
      </c>
      <c r="AB65" s="85">
        <f t="shared" si="50"/>
        <v>0</v>
      </c>
      <c r="AC65" s="150">
        <f t="shared" si="50"/>
        <v>0</v>
      </c>
      <c r="AD65" s="146">
        <f t="shared" si="6"/>
        <v>0</v>
      </c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</row>
    <row r="66" spans="1:246">
      <c r="A66" s="40"/>
      <c r="B66" s="10" t="s">
        <v>31</v>
      </c>
      <c r="C66" s="30"/>
      <c r="D66" s="31"/>
      <c r="E66" s="32"/>
      <c r="F66" s="33">
        <f>H66+I66+AD66</f>
        <v>23485.834000000003</v>
      </c>
      <c r="G66" s="34">
        <v>0</v>
      </c>
      <c r="H66" s="33">
        <v>23.343</v>
      </c>
      <c r="I66" s="33">
        <f t="shared" si="27"/>
        <v>23462.491000000002</v>
      </c>
      <c r="J66" s="33">
        <v>23.343</v>
      </c>
      <c r="K66" s="33">
        <v>294.82799999999997</v>
      </c>
      <c r="L66" s="33">
        <v>4510.1790000000001</v>
      </c>
      <c r="M66" s="33">
        <v>5126.9470000000001</v>
      </c>
      <c r="N66" s="87">
        <v>13530.537</v>
      </c>
      <c r="O66" s="87">
        <v>0</v>
      </c>
      <c r="P66" s="87">
        <v>0</v>
      </c>
      <c r="Q66" s="87">
        <v>0</v>
      </c>
      <c r="R66" s="119">
        <f t="shared" si="2"/>
        <v>0</v>
      </c>
      <c r="S66" s="87">
        <v>0</v>
      </c>
      <c r="T66" s="87">
        <v>0</v>
      </c>
      <c r="U66" s="87">
        <v>0</v>
      </c>
      <c r="V66" s="87">
        <v>0</v>
      </c>
      <c r="W66" s="87">
        <v>0</v>
      </c>
      <c r="X66" s="87">
        <v>0</v>
      </c>
      <c r="Y66" s="87">
        <v>0</v>
      </c>
      <c r="Z66" s="87">
        <v>0</v>
      </c>
      <c r="AA66" s="87">
        <v>0</v>
      </c>
      <c r="AB66" s="87">
        <v>0</v>
      </c>
      <c r="AC66" s="161">
        <v>0</v>
      </c>
      <c r="AD66" s="148">
        <f t="shared" si="6"/>
        <v>0</v>
      </c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</row>
    <row r="67" spans="1:246" ht="22.5">
      <c r="A67" s="20">
        <v>21</v>
      </c>
      <c r="B67" s="23" t="s">
        <v>74</v>
      </c>
      <c r="C67" s="24" t="s">
        <v>75</v>
      </c>
      <c r="D67" s="25" t="s">
        <v>76</v>
      </c>
      <c r="E67" s="26">
        <f>F68</f>
        <v>41276.051999999996</v>
      </c>
      <c r="F67" s="27">
        <f>F68+F69+F70</f>
        <v>180882.97100000002</v>
      </c>
      <c r="G67" s="28">
        <v>0</v>
      </c>
      <c r="H67" s="28">
        <v>38410.633000000002</v>
      </c>
      <c r="I67" s="28">
        <f t="shared" si="27"/>
        <v>142472.33799999999</v>
      </c>
      <c r="J67" s="27">
        <v>38410.633000000002</v>
      </c>
      <c r="K67" s="27">
        <v>111619.04699999999</v>
      </c>
      <c r="L67" s="27">
        <v>30853.290999999997</v>
      </c>
      <c r="M67" s="27">
        <v>0</v>
      </c>
      <c r="N67" s="85">
        <v>0</v>
      </c>
      <c r="O67" s="85">
        <v>0</v>
      </c>
      <c r="P67" s="85">
        <v>0</v>
      </c>
      <c r="Q67" s="85">
        <v>0</v>
      </c>
      <c r="R67" s="118">
        <f t="shared" si="2"/>
        <v>0</v>
      </c>
      <c r="S67" s="85">
        <f>S68+S69+S70</f>
        <v>0</v>
      </c>
      <c r="T67" s="85">
        <f t="shared" ref="T67:AC67" si="51">T68+T69+T70</f>
        <v>0</v>
      </c>
      <c r="U67" s="85">
        <f t="shared" si="51"/>
        <v>0</v>
      </c>
      <c r="V67" s="85">
        <f t="shared" si="51"/>
        <v>0</v>
      </c>
      <c r="W67" s="85">
        <f t="shared" si="51"/>
        <v>0</v>
      </c>
      <c r="X67" s="85">
        <f t="shared" si="51"/>
        <v>0</v>
      </c>
      <c r="Y67" s="85">
        <f t="shared" si="51"/>
        <v>0</v>
      </c>
      <c r="Z67" s="85">
        <f t="shared" si="51"/>
        <v>0</v>
      </c>
      <c r="AA67" s="85">
        <f t="shared" si="51"/>
        <v>0</v>
      </c>
      <c r="AB67" s="85">
        <f t="shared" si="51"/>
        <v>0</v>
      </c>
      <c r="AC67" s="150">
        <f t="shared" si="51"/>
        <v>0</v>
      </c>
      <c r="AD67" s="146">
        <f t="shared" si="6"/>
        <v>0</v>
      </c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</row>
    <row r="68" spans="1:246">
      <c r="A68" s="29"/>
      <c r="B68" s="10" t="s">
        <v>31</v>
      </c>
      <c r="C68" s="30"/>
      <c r="D68" s="31"/>
      <c r="E68" s="32"/>
      <c r="F68" s="33">
        <f>H68+I68+AD68</f>
        <v>41276.051999999996</v>
      </c>
      <c r="G68" s="34">
        <v>0</v>
      </c>
      <c r="H68" s="33">
        <v>17966.544000000002</v>
      </c>
      <c r="I68" s="33">
        <f t="shared" si="27"/>
        <v>23309.507999999998</v>
      </c>
      <c r="J68" s="33">
        <v>17966.544000000002</v>
      </c>
      <c r="K68" s="33">
        <v>23213.065999999999</v>
      </c>
      <c r="L68" s="33">
        <v>96.441999999999993</v>
      </c>
      <c r="M68" s="33">
        <v>0</v>
      </c>
      <c r="N68" s="87">
        <v>0</v>
      </c>
      <c r="O68" s="87">
        <v>0</v>
      </c>
      <c r="P68" s="87">
        <v>0</v>
      </c>
      <c r="Q68" s="87">
        <v>0</v>
      </c>
      <c r="R68" s="119">
        <f t="shared" si="2"/>
        <v>0</v>
      </c>
      <c r="S68" s="87">
        <v>0</v>
      </c>
      <c r="T68" s="87">
        <v>0</v>
      </c>
      <c r="U68" s="87">
        <v>0</v>
      </c>
      <c r="V68" s="87">
        <v>0</v>
      </c>
      <c r="W68" s="87">
        <v>0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161">
        <v>0</v>
      </c>
      <c r="AD68" s="148">
        <f t="shared" si="6"/>
        <v>0</v>
      </c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</row>
    <row r="69" spans="1:246">
      <c r="A69" s="29"/>
      <c r="B69" s="38" t="s">
        <v>41</v>
      </c>
      <c r="C69" s="30"/>
      <c r="D69" s="31"/>
      <c r="E69" s="32"/>
      <c r="F69" s="33">
        <f>H69+I69+AD69</f>
        <v>99903.126999999993</v>
      </c>
      <c r="G69" s="34">
        <v>0</v>
      </c>
      <c r="H69" s="33">
        <v>15440.955</v>
      </c>
      <c r="I69" s="33">
        <f t="shared" si="27"/>
        <v>84462.171999999991</v>
      </c>
      <c r="J69" s="33">
        <v>15440.955</v>
      </c>
      <c r="K69" s="33">
        <v>53705.322999999997</v>
      </c>
      <c r="L69" s="33">
        <v>30756.848999999998</v>
      </c>
      <c r="M69" s="33">
        <v>0</v>
      </c>
      <c r="N69" s="87">
        <v>0</v>
      </c>
      <c r="O69" s="87">
        <v>0</v>
      </c>
      <c r="P69" s="87">
        <v>0</v>
      </c>
      <c r="Q69" s="87">
        <v>0</v>
      </c>
      <c r="R69" s="119">
        <f t="shared" si="2"/>
        <v>0</v>
      </c>
      <c r="S69" s="87">
        <v>0</v>
      </c>
      <c r="T69" s="87">
        <v>0</v>
      </c>
      <c r="U69" s="87">
        <v>0</v>
      </c>
      <c r="V69" s="87">
        <v>0</v>
      </c>
      <c r="W69" s="87">
        <v>0</v>
      </c>
      <c r="X69" s="87">
        <v>0</v>
      </c>
      <c r="Y69" s="87">
        <v>0</v>
      </c>
      <c r="Z69" s="87">
        <v>0</v>
      </c>
      <c r="AA69" s="87">
        <v>0</v>
      </c>
      <c r="AB69" s="87">
        <v>0</v>
      </c>
      <c r="AC69" s="161">
        <v>0</v>
      </c>
      <c r="AD69" s="148">
        <f t="shared" si="6"/>
        <v>0</v>
      </c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</row>
    <row r="70" spans="1:246">
      <c r="A70" s="29"/>
      <c r="B70" s="10" t="s">
        <v>77</v>
      </c>
      <c r="C70" s="30"/>
      <c r="D70" s="31"/>
      <c r="E70" s="32"/>
      <c r="F70" s="33">
        <f>H70+I70+AD70</f>
        <v>39703.792000000001</v>
      </c>
      <c r="G70" s="34">
        <v>0</v>
      </c>
      <c r="H70" s="33">
        <v>5003.134</v>
      </c>
      <c r="I70" s="33">
        <f t="shared" si="27"/>
        <v>34700.658000000003</v>
      </c>
      <c r="J70" s="33">
        <v>5003.134</v>
      </c>
      <c r="K70" s="33">
        <v>34700.658000000003</v>
      </c>
      <c r="L70" s="33">
        <v>0</v>
      </c>
      <c r="M70" s="33">
        <v>0</v>
      </c>
      <c r="N70" s="87">
        <v>0</v>
      </c>
      <c r="O70" s="87">
        <v>0</v>
      </c>
      <c r="P70" s="87">
        <v>0</v>
      </c>
      <c r="Q70" s="87">
        <v>0</v>
      </c>
      <c r="R70" s="119">
        <f t="shared" si="2"/>
        <v>0</v>
      </c>
      <c r="S70" s="87">
        <v>0</v>
      </c>
      <c r="T70" s="87">
        <v>0</v>
      </c>
      <c r="U70" s="87">
        <v>0</v>
      </c>
      <c r="V70" s="87">
        <v>0</v>
      </c>
      <c r="W70" s="87">
        <v>0</v>
      </c>
      <c r="X70" s="87">
        <v>0</v>
      </c>
      <c r="Y70" s="87">
        <v>0</v>
      </c>
      <c r="Z70" s="87">
        <v>0</v>
      </c>
      <c r="AA70" s="87">
        <v>0</v>
      </c>
      <c r="AB70" s="87">
        <v>0</v>
      </c>
      <c r="AC70" s="161">
        <v>0</v>
      </c>
      <c r="AD70" s="148">
        <f t="shared" si="6"/>
        <v>0</v>
      </c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</row>
    <row r="71" spans="1:246" ht="22.5">
      <c r="A71" s="20">
        <v>22</v>
      </c>
      <c r="B71" s="23" t="s">
        <v>78</v>
      </c>
      <c r="C71" s="24" t="s">
        <v>413</v>
      </c>
      <c r="D71" s="25" t="s">
        <v>393</v>
      </c>
      <c r="E71" s="26">
        <f>F72</f>
        <v>150886.05599999998</v>
      </c>
      <c r="F71" s="27">
        <f>F72+F73+F74</f>
        <v>179151.05599999998</v>
      </c>
      <c r="G71" s="28">
        <v>136779.25599999999</v>
      </c>
      <c r="H71" s="28">
        <v>139302.25599999999</v>
      </c>
      <c r="I71" s="28">
        <f t="shared" si="27"/>
        <v>15683.8</v>
      </c>
      <c r="J71" s="27">
        <v>2523</v>
      </c>
      <c r="K71" s="27">
        <v>1850.88</v>
      </c>
      <c r="L71" s="27">
        <v>3505.12</v>
      </c>
      <c r="M71" s="28">
        <f>SUM(M72:M74)</f>
        <v>5830</v>
      </c>
      <c r="N71" s="88">
        <f t="shared" ref="N71:T71" si="52">SUM(N72:N74)</f>
        <v>2524</v>
      </c>
      <c r="O71" s="88">
        <f t="shared" si="52"/>
        <v>1973.8</v>
      </c>
      <c r="P71" s="88">
        <f t="shared" si="52"/>
        <v>6435</v>
      </c>
      <c r="Q71" s="88">
        <f t="shared" si="52"/>
        <v>7730</v>
      </c>
      <c r="R71" s="118">
        <f t="shared" si="52"/>
        <v>10000</v>
      </c>
      <c r="S71" s="88">
        <f t="shared" si="52"/>
        <v>5000</v>
      </c>
      <c r="T71" s="88">
        <f t="shared" si="52"/>
        <v>5000</v>
      </c>
      <c r="U71" s="85">
        <f t="shared" ref="U71:AC71" si="53">U72+U73+U74</f>
        <v>0</v>
      </c>
      <c r="V71" s="85">
        <f t="shared" si="53"/>
        <v>0</v>
      </c>
      <c r="W71" s="85">
        <f t="shared" si="53"/>
        <v>0</v>
      </c>
      <c r="X71" s="85">
        <f t="shared" si="53"/>
        <v>0</v>
      </c>
      <c r="Y71" s="85">
        <f t="shared" si="53"/>
        <v>0</v>
      </c>
      <c r="Z71" s="85">
        <f t="shared" si="53"/>
        <v>0</v>
      </c>
      <c r="AA71" s="85">
        <f t="shared" si="53"/>
        <v>0</v>
      </c>
      <c r="AB71" s="85">
        <f t="shared" si="53"/>
        <v>0</v>
      </c>
      <c r="AC71" s="150">
        <f t="shared" si="53"/>
        <v>0</v>
      </c>
      <c r="AD71" s="146">
        <f t="shared" si="6"/>
        <v>24165</v>
      </c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</row>
    <row r="72" spans="1:246">
      <c r="A72" s="29"/>
      <c r="B72" s="10" t="s">
        <v>31</v>
      </c>
      <c r="C72" s="30"/>
      <c r="D72" s="31"/>
      <c r="E72" s="32"/>
      <c r="F72" s="33">
        <f>H72+I72+AD72</f>
        <v>150886.05599999998</v>
      </c>
      <c r="G72" s="34">
        <v>109122.25599999999</v>
      </c>
      <c r="H72" s="33">
        <v>111645.25599999999</v>
      </c>
      <c r="I72" s="33">
        <f t="shared" si="27"/>
        <v>15075.8</v>
      </c>
      <c r="J72" s="33">
        <v>2523</v>
      </c>
      <c r="K72" s="33">
        <v>1850.88</v>
      </c>
      <c r="L72" s="33">
        <v>3305.12</v>
      </c>
      <c r="M72" s="33">
        <f>6022-150-450</f>
        <v>5422</v>
      </c>
      <c r="N72" s="87">
        <v>2524</v>
      </c>
      <c r="O72" s="87">
        <v>1973.8</v>
      </c>
      <c r="P72" s="87">
        <v>6435</v>
      </c>
      <c r="Q72" s="87">
        <v>7730</v>
      </c>
      <c r="R72" s="119">
        <f t="shared" si="2"/>
        <v>10000</v>
      </c>
      <c r="S72" s="87">
        <v>5000</v>
      </c>
      <c r="T72" s="87">
        <v>5000</v>
      </c>
      <c r="U72" s="87">
        <v>0</v>
      </c>
      <c r="V72" s="87">
        <v>0</v>
      </c>
      <c r="W72" s="87">
        <v>0</v>
      </c>
      <c r="X72" s="87">
        <v>0</v>
      </c>
      <c r="Y72" s="87">
        <v>0</v>
      </c>
      <c r="Z72" s="87">
        <v>0</v>
      </c>
      <c r="AA72" s="87">
        <v>0</v>
      </c>
      <c r="AB72" s="87">
        <v>0</v>
      </c>
      <c r="AC72" s="161">
        <v>0</v>
      </c>
      <c r="AD72" s="148">
        <f t="shared" si="6"/>
        <v>24165</v>
      </c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</row>
    <row r="73" spans="1:246">
      <c r="A73" s="29"/>
      <c r="B73" s="10" t="s">
        <v>32</v>
      </c>
      <c r="C73" s="30"/>
      <c r="D73" s="31"/>
      <c r="E73" s="32"/>
      <c r="F73" s="33">
        <f>H73+I73+AD73</f>
        <v>26554</v>
      </c>
      <c r="G73" s="34">
        <v>25946</v>
      </c>
      <c r="H73" s="33">
        <v>25946</v>
      </c>
      <c r="I73" s="33">
        <f t="shared" si="27"/>
        <v>608</v>
      </c>
      <c r="J73" s="33">
        <v>0</v>
      </c>
      <c r="K73" s="33">
        <v>0</v>
      </c>
      <c r="L73" s="33">
        <v>200</v>
      </c>
      <c r="M73" s="33">
        <v>408</v>
      </c>
      <c r="N73" s="87">
        <v>0</v>
      </c>
      <c r="O73" s="87">
        <v>0</v>
      </c>
      <c r="P73" s="87">
        <v>0</v>
      </c>
      <c r="Q73" s="87">
        <v>0</v>
      </c>
      <c r="R73" s="119">
        <f t="shared" si="2"/>
        <v>0</v>
      </c>
      <c r="S73" s="87">
        <v>0</v>
      </c>
      <c r="T73" s="87">
        <v>0</v>
      </c>
      <c r="U73" s="87">
        <v>0</v>
      </c>
      <c r="V73" s="87">
        <v>0</v>
      </c>
      <c r="W73" s="87">
        <v>0</v>
      </c>
      <c r="X73" s="87">
        <v>0</v>
      </c>
      <c r="Y73" s="87">
        <v>0</v>
      </c>
      <c r="Z73" s="87">
        <v>0</v>
      </c>
      <c r="AA73" s="87">
        <v>0</v>
      </c>
      <c r="AB73" s="87">
        <v>0</v>
      </c>
      <c r="AC73" s="161">
        <v>0</v>
      </c>
      <c r="AD73" s="148">
        <f t="shared" si="6"/>
        <v>0</v>
      </c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</row>
    <row r="74" spans="1:246">
      <c r="A74" s="29"/>
      <c r="B74" s="10" t="s">
        <v>79</v>
      </c>
      <c r="C74" s="30"/>
      <c r="D74" s="31"/>
      <c r="E74" s="32"/>
      <c r="F74" s="33">
        <f>H74+I74+AD74</f>
        <v>1711</v>
      </c>
      <c r="G74" s="34">
        <v>1711</v>
      </c>
      <c r="H74" s="33">
        <v>1711</v>
      </c>
      <c r="I74" s="33">
        <f t="shared" si="27"/>
        <v>0</v>
      </c>
      <c r="J74" s="33">
        <v>0</v>
      </c>
      <c r="K74" s="33">
        <v>0</v>
      </c>
      <c r="L74" s="33">
        <v>0</v>
      </c>
      <c r="M74" s="33">
        <v>0</v>
      </c>
      <c r="N74" s="87">
        <v>0</v>
      </c>
      <c r="O74" s="87">
        <v>0</v>
      </c>
      <c r="P74" s="87">
        <v>0</v>
      </c>
      <c r="Q74" s="87">
        <v>0</v>
      </c>
      <c r="R74" s="119">
        <f t="shared" si="2"/>
        <v>0</v>
      </c>
      <c r="S74" s="87">
        <v>0</v>
      </c>
      <c r="T74" s="87">
        <v>0</v>
      </c>
      <c r="U74" s="87">
        <v>0</v>
      </c>
      <c r="V74" s="87">
        <v>0</v>
      </c>
      <c r="W74" s="87">
        <v>0</v>
      </c>
      <c r="X74" s="87">
        <v>0</v>
      </c>
      <c r="Y74" s="87">
        <v>0</v>
      </c>
      <c r="Z74" s="87">
        <v>0</v>
      </c>
      <c r="AA74" s="87">
        <v>0</v>
      </c>
      <c r="AB74" s="87">
        <v>0</v>
      </c>
      <c r="AC74" s="161">
        <v>0</v>
      </c>
      <c r="AD74" s="148">
        <f t="shared" si="6"/>
        <v>0</v>
      </c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</row>
    <row r="75" spans="1:246" ht="22.5">
      <c r="A75" s="20">
        <v>23</v>
      </c>
      <c r="B75" s="23" t="s">
        <v>80</v>
      </c>
      <c r="C75" s="24" t="s">
        <v>43</v>
      </c>
      <c r="D75" s="25" t="s">
        <v>421</v>
      </c>
      <c r="E75" s="26">
        <f>F76</f>
        <v>21718.841</v>
      </c>
      <c r="F75" s="27">
        <f>F76+F77+F78</f>
        <v>32807.85</v>
      </c>
      <c r="G75" s="28">
        <v>1821.559</v>
      </c>
      <c r="H75" s="28">
        <v>2072.5590000000002</v>
      </c>
      <c r="I75" s="28">
        <f t="shared" ref="I75:I84" si="54">SUM(K75:O75)</f>
        <v>30735.291000000005</v>
      </c>
      <c r="J75" s="27">
        <v>251</v>
      </c>
      <c r="K75" s="27">
        <v>16635.562000000002</v>
      </c>
      <c r="L75" s="27">
        <v>282.48700000000002</v>
      </c>
      <c r="M75" s="28">
        <f t="shared" ref="M75:R75" si="55">SUM(M76:M78)</f>
        <v>409.36300000000006</v>
      </c>
      <c r="N75" s="88">
        <f t="shared" si="55"/>
        <v>13407.879000000001</v>
      </c>
      <c r="O75" s="88">
        <f t="shared" si="55"/>
        <v>0</v>
      </c>
      <c r="P75" s="88">
        <f t="shared" si="55"/>
        <v>0</v>
      </c>
      <c r="Q75" s="88">
        <f t="shared" si="55"/>
        <v>0</v>
      </c>
      <c r="R75" s="118">
        <f t="shared" si="55"/>
        <v>0</v>
      </c>
      <c r="S75" s="85">
        <f>S76+S77+S78</f>
        <v>0</v>
      </c>
      <c r="T75" s="85">
        <f t="shared" ref="T75:AC75" si="56">T76+T77+T78</f>
        <v>0</v>
      </c>
      <c r="U75" s="85">
        <f t="shared" si="56"/>
        <v>0</v>
      </c>
      <c r="V75" s="85">
        <f t="shared" si="56"/>
        <v>0</v>
      </c>
      <c r="W75" s="85">
        <f t="shared" si="56"/>
        <v>0</v>
      </c>
      <c r="X75" s="85">
        <f t="shared" si="56"/>
        <v>0</v>
      </c>
      <c r="Y75" s="85">
        <f t="shared" si="56"/>
        <v>0</v>
      </c>
      <c r="Z75" s="85">
        <f t="shared" si="56"/>
        <v>0</v>
      </c>
      <c r="AA75" s="85">
        <f t="shared" si="56"/>
        <v>0</v>
      </c>
      <c r="AB75" s="85">
        <f t="shared" si="56"/>
        <v>0</v>
      </c>
      <c r="AC75" s="150">
        <f t="shared" si="56"/>
        <v>0</v>
      </c>
      <c r="AD75" s="146">
        <f t="shared" si="6"/>
        <v>0</v>
      </c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</row>
    <row r="76" spans="1:246">
      <c r="A76" s="29"/>
      <c r="B76" s="10" t="s">
        <v>31</v>
      </c>
      <c r="C76" s="30"/>
      <c r="D76" s="31"/>
      <c r="E76" s="32"/>
      <c r="F76" s="33">
        <f>H76+I76+AD76</f>
        <v>21718.841</v>
      </c>
      <c r="G76" s="34">
        <v>1821.559</v>
      </c>
      <c r="H76" s="33">
        <v>1974.1589999999999</v>
      </c>
      <c r="I76" s="33">
        <f t="shared" si="54"/>
        <v>19744.682000000001</v>
      </c>
      <c r="J76" s="33">
        <v>152.6</v>
      </c>
      <c r="K76" s="33">
        <v>5644.9530000000004</v>
      </c>
      <c r="L76" s="33">
        <v>282.48700000000002</v>
      </c>
      <c r="M76" s="33">
        <f>329.713+79.65</f>
        <v>409.36300000000006</v>
      </c>
      <c r="N76" s="103">
        <v>13407.879000000001</v>
      </c>
      <c r="O76" s="87">
        <v>0</v>
      </c>
      <c r="P76" s="87">
        <v>0</v>
      </c>
      <c r="Q76" s="87">
        <v>0</v>
      </c>
      <c r="R76" s="119">
        <f t="shared" ref="R76:R84" si="57">SUM(S76:AC76)</f>
        <v>0</v>
      </c>
      <c r="S76" s="87">
        <v>0</v>
      </c>
      <c r="T76" s="87">
        <v>0</v>
      </c>
      <c r="U76" s="87">
        <v>0</v>
      </c>
      <c r="V76" s="87">
        <v>0</v>
      </c>
      <c r="W76" s="87">
        <v>0</v>
      </c>
      <c r="X76" s="87">
        <v>0</v>
      </c>
      <c r="Y76" s="87">
        <v>0</v>
      </c>
      <c r="Z76" s="87">
        <v>0</v>
      </c>
      <c r="AA76" s="87">
        <v>0</v>
      </c>
      <c r="AB76" s="87">
        <v>0</v>
      </c>
      <c r="AC76" s="161">
        <v>0</v>
      </c>
      <c r="AD76" s="148">
        <f t="shared" si="6"/>
        <v>0</v>
      </c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</row>
    <row r="77" spans="1:246">
      <c r="A77" s="29"/>
      <c r="B77" s="10" t="s">
        <v>82</v>
      </c>
      <c r="C77" s="30"/>
      <c r="D77" s="31"/>
      <c r="E77" s="32"/>
      <c r="F77" s="33">
        <f>H77+I77+AD77</f>
        <v>8788.509</v>
      </c>
      <c r="G77" s="34">
        <v>0</v>
      </c>
      <c r="H77" s="33">
        <v>98.4</v>
      </c>
      <c r="I77" s="33">
        <f t="shared" si="54"/>
        <v>8690.1090000000004</v>
      </c>
      <c r="J77" s="33">
        <v>98.4</v>
      </c>
      <c r="K77" s="33">
        <v>8690.1090000000004</v>
      </c>
      <c r="L77" s="33">
        <v>0</v>
      </c>
      <c r="M77" s="33">
        <v>0</v>
      </c>
      <c r="N77" s="87">
        <v>0</v>
      </c>
      <c r="O77" s="87">
        <v>0</v>
      </c>
      <c r="P77" s="87">
        <v>0</v>
      </c>
      <c r="Q77" s="87">
        <v>0</v>
      </c>
      <c r="R77" s="119">
        <f t="shared" si="57"/>
        <v>0</v>
      </c>
      <c r="S77" s="87">
        <v>0</v>
      </c>
      <c r="T77" s="87">
        <v>0</v>
      </c>
      <c r="U77" s="87">
        <v>0</v>
      </c>
      <c r="V77" s="87">
        <v>0</v>
      </c>
      <c r="W77" s="87">
        <v>0</v>
      </c>
      <c r="X77" s="87">
        <v>0</v>
      </c>
      <c r="Y77" s="87">
        <v>0</v>
      </c>
      <c r="Z77" s="87">
        <v>0</v>
      </c>
      <c r="AA77" s="87">
        <v>0</v>
      </c>
      <c r="AB77" s="87">
        <v>0</v>
      </c>
      <c r="AC77" s="161">
        <v>0</v>
      </c>
      <c r="AD77" s="148">
        <f t="shared" si="6"/>
        <v>0</v>
      </c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</row>
    <row r="78" spans="1:246">
      <c r="A78" s="29"/>
      <c r="B78" s="10" t="s">
        <v>83</v>
      </c>
      <c r="C78" s="30"/>
      <c r="D78" s="31"/>
      <c r="E78" s="32"/>
      <c r="F78" s="33">
        <f>H78+I78+AD78</f>
        <v>2300.5</v>
      </c>
      <c r="G78" s="34">
        <v>0</v>
      </c>
      <c r="H78" s="33">
        <v>0</v>
      </c>
      <c r="I78" s="33">
        <f t="shared" si="54"/>
        <v>2300.5</v>
      </c>
      <c r="J78" s="33">
        <v>0</v>
      </c>
      <c r="K78" s="33">
        <v>2300.5</v>
      </c>
      <c r="L78" s="33">
        <v>0</v>
      </c>
      <c r="M78" s="33">
        <v>0</v>
      </c>
      <c r="N78" s="87">
        <v>0</v>
      </c>
      <c r="O78" s="87">
        <v>0</v>
      </c>
      <c r="P78" s="87">
        <v>0</v>
      </c>
      <c r="Q78" s="87">
        <v>0</v>
      </c>
      <c r="R78" s="119">
        <f t="shared" si="57"/>
        <v>0</v>
      </c>
      <c r="S78" s="87">
        <v>0</v>
      </c>
      <c r="T78" s="87">
        <v>0</v>
      </c>
      <c r="U78" s="87">
        <v>0</v>
      </c>
      <c r="V78" s="87">
        <v>0</v>
      </c>
      <c r="W78" s="87">
        <v>0</v>
      </c>
      <c r="X78" s="87">
        <v>0</v>
      </c>
      <c r="Y78" s="87">
        <v>0</v>
      </c>
      <c r="Z78" s="87">
        <v>0</v>
      </c>
      <c r="AA78" s="87">
        <v>0</v>
      </c>
      <c r="AB78" s="87">
        <v>0</v>
      </c>
      <c r="AC78" s="161">
        <v>0</v>
      </c>
      <c r="AD78" s="148">
        <f t="shared" ref="AD78:AD155" si="58">P78+Q78+R78</f>
        <v>0</v>
      </c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</row>
    <row r="79" spans="1:246" ht="22.5">
      <c r="A79" s="20">
        <v>24</v>
      </c>
      <c r="B79" s="37" t="s">
        <v>84</v>
      </c>
      <c r="C79" s="24" t="s">
        <v>85</v>
      </c>
      <c r="D79" s="43" t="s">
        <v>418</v>
      </c>
      <c r="E79" s="26">
        <f>F80</f>
        <v>80496.671000000002</v>
      </c>
      <c r="F79" s="27">
        <f>F80</f>
        <v>80496.671000000002</v>
      </c>
      <c r="G79" s="28">
        <f>G80</f>
        <v>0</v>
      </c>
      <c r="H79" s="28">
        <f>H80</f>
        <v>50</v>
      </c>
      <c r="I79" s="28">
        <f t="shared" si="54"/>
        <v>21197.361000000001</v>
      </c>
      <c r="J79" s="27">
        <f>J80</f>
        <v>50</v>
      </c>
      <c r="K79" s="27">
        <f t="shared" ref="K79:Q79" si="59">K80</f>
        <v>4128</v>
      </c>
      <c r="L79" s="27">
        <f t="shared" si="59"/>
        <v>7999.2</v>
      </c>
      <c r="M79" s="27">
        <f t="shared" si="59"/>
        <v>1344.3689999999999</v>
      </c>
      <c r="N79" s="85">
        <f t="shared" si="59"/>
        <v>2296.7420000000002</v>
      </c>
      <c r="O79" s="85">
        <f t="shared" si="59"/>
        <v>5429.05</v>
      </c>
      <c r="P79" s="85">
        <f t="shared" si="59"/>
        <v>9249.31</v>
      </c>
      <c r="Q79" s="85">
        <f t="shared" si="59"/>
        <v>25000</v>
      </c>
      <c r="R79" s="118">
        <f t="shared" si="57"/>
        <v>25000</v>
      </c>
      <c r="S79" s="85">
        <f>S80</f>
        <v>25000</v>
      </c>
      <c r="T79" s="85">
        <f t="shared" ref="T79:AC79" si="60">T80</f>
        <v>0</v>
      </c>
      <c r="U79" s="85">
        <f t="shared" si="60"/>
        <v>0</v>
      </c>
      <c r="V79" s="85">
        <f t="shared" si="60"/>
        <v>0</v>
      </c>
      <c r="W79" s="85">
        <f t="shared" si="60"/>
        <v>0</v>
      </c>
      <c r="X79" s="85">
        <f t="shared" si="60"/>
        <v>0</v>
      </c>
      <c r="Y79" s="85">
        <f t="shared" si="60"/>
        <v>0</v>
      </c>
      <c r="Z79" s="85">
        <f t="shared" si="60"/>
        <v>0</v>
      </c>
      <c r="AA79" s="85">
        <f t="shared" si="60"/>
        <v>0</v>
      </c>
      <c r="AB79" s="85">
        <f t="shared" si="60"/>
        <v>0</v>
      </c>
      <c r="AC79" s="150">
        <f t="shared" si="60"/>
        <v>0</v>
      </c>
      <c r="AD79" s="146">
        <f t="shared" si="58"/>
        <v>59249.31</v>
      </c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</row>
    <row r="80" spans="1:246">
      <c r="A80" s="29"/>
      <c r="B80" s="10" t="s">
        <v>31</v>
      </c>
      <c r="C80" s="30"/>
      <c r="D80" s="31"/>
      <c r="E80" s="32"/>
      <c r="F80" s="33">
        <f>H80+I80+AD80</f>
        <v>80496.671000000002</v>
      </c>
      <c r="G80" s="34">
        <v>0</v>
      </c>
      <c r="H80" s="33">
        <v>50</v>
      </c>
      <c r="I80" s="33">
        <f t="shared" si="54"/>
        <v>21197.361000000001</v>
      </c>
      <c r="J80" s="33">
        <v>50</v>
      </c>
      <c r="K80" s="33">
        <v>4128</v>
      </c>
      <c r="L80" s="33">
        <v>7999.2</v>
      </c>
      <c r="M80" s="35">
        <v>1344.3689999999999</v>
      </c>
      <c r="N80" s="87">
        <v>2296.7420000000002</v>
      </c>
      <c r="O80" s="87">
        <v>5429.05</v>
      </c>
      <c r="P80" s="87">
        <v>9249.31</v>
      </c>
      <c r="Q80" s="87">
        <v>25000</v>
      </c>
      <c r="R80" s="119">
        <f t="shared" si="57"/>
        <v>25000</v>
      </c>
      <c r="S80" s="87">
        <v>25000</v>
      </c>
      <c r="T80" s="87">
        <v>0</v>
      </c>
      <c r="U80" s="87">
        <v>0</v>
      </c>
      <c r="V80" s="87">
        <v>0</v>
      </c>
      <c r="W80" s="87">
        <v>0</v>
      </c>
      <c r="X80" s="87">
        <v>0</v>
      </c>
      <c r="Y80" s="87">
        <v>0</v>
      </c>
      <c r="Z80" s="87">
        <v>0</v>
      </c>
      <c r="AA80" s="87">
        <v>0</v>
      </c>
      <c r="AB80" s="87">
        <v>0</v>
      </c>
      <c r="AC80" s="161">
        <v>0</v>
      </c>
      <c r="AD80" s="148">
        <f t="shared" si="58"/>
        <v>59249.31</v>
      </c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</row>
    <row r="81" spans="1:246" ht="22.5">
      <c r="A81" s="20">
        <v>25</v>
      </c>
      <c r="B81" s="23" t="s">
        <v>87</v>
      </c>
      <c r="C81" s="24" t="s">
        <v>51</v>
      </c>
      <c r="D81" s="25" t="s">
        <v>88</v>
      </c>
      <c r="E81" s="26">
        <f>F82</f>
        <v>9609.5750000000007</v>
      </c>
      <c r="F81" s="27">
        <f>F82+F83+F84</f>
        <v>16289.985000000001</v>
      </c>
      <c r="G81" s="28">
        <v>0</v>
      </c>
      <c r="H81" s="28">
        <v>0</v>
      </c>
      <c r="I81" s="28">
        <f t="shared" si="54"/>
        <v>16289.985000000001</v>
      </c>
      <c r="J81" s="27">
        <f>J82+J83+J84</f>
        <v>0</v>
      </c>
      <c r="K81" s="27">
        <f t="shared" ref="K81:Q81" si="61">K82+K83+K84</f>
        <v>0</v>
      </c>
      <c r="L81" s="27">
        <f t="shared" si="61"/>
        <v>6055.3140000000003</v>
      </c>
      <c r="M81" s="27">
        <f t="shared" si="61"/>
        <v>10234.671</v>
      </c>
      <c r="N81" s="85">
        <f t="shared" si="61"/>
        <v>0</v>
      </c>
      <c r="O81" s="85">
        <f t="shared" si="61"/>
        <v>0</v>
      </c>
      <c r="P81" s="85">
        <f t="shared" si="61"/>
        <v>0</v>
      </c>
      <c r="Q81" s="85">
        <f t="shared" si="61"/>
        <v>0</v>
      </c>
      <c r="R81" s="118">
        <f t="shared" si="57"/>
        <v>0</v>
      </c>
      <c r="S81" s="85">
        <f>S82+S83+S84</f>
        <v>0</v>
      </c>
      <c r="T81" s="85">
        <f t="shared" ref="T81:AC81" si="62">T82+T83+T84</f>
        <v>0</v>
      </c>
      <c r="U81" s="85">
        <f t="shared" si="62"/>
        <v>0</v>
      </c>
      <c r="V81" s="85">
        <f t="shared" si="62"/>
        <v>0</v>
      </c>
      <c r="W81" s="85">
        <f t="shared" si="62"/>
        <v>0</v>
      </c>
      <c r="X81" s="85">
        <f t="shared" si="62"/>
        <v>0</v>
      </c>
      <c r="Y81" s="85">
        <f t="shared" si="62"/>
        <v>0</v>
      </c>
      <c r="Z81" s="85">
        <f t="shared" si="62"/>
        <v>0</v>
      </c>
      <c r="AA81" s="85">
        <f t="shared" si="62"/>
        <v>0</v>
      </c>
      <c r="AB81" s="85">
        <f t="shared" si="62"/>
        <v>0</v>
      </c>
      <c r="AC81" s="150">
        <f t="shared" si="62"/>
        <v>0</v>
      </c>
      <c r="AD81" s="146">
        <f t="shared" si="58"/>
        <v>0</v>
      </c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</row>
    <row r="82" spans="1:246">
      <c r="A82" s="29"/>
      <c r="B82" s="10" t="s">
        <v>31</v>
      </c>
      <c r="C82" s="30"/>
      <c r="D82" s="31"/>
      <c r="E82" s="32"/>
      <c r="F82" s="33">
        <f>H82+I82+AD82</f>
        <v>9609.5750000000007</v>
      </c>
      <c r="G82" s="34">
        <v>0</v>
      </c>
      <c r="H82" s="33">
        <v>0</v>
      </c>
      <c r="I82" s="33">
        <f t="shared" si="54"/>
        <v>9609.5750000000007</v>
      </c>
      <c r="J82" s="33">
        <v>0</v>
      </c>
      <c r="K82" s="33">
        <v>0</v>
      </c>
      <c r="L82" s="33">
        <v>3599.3139999999999</v>
      </c>
      <c r="M82" s="44">
        <f>11414.465-3000-1919.512-484.692</f>
        <v>6010.2610000000004</v>
      </c>
      <c r="N82" s="86">
        <v>0</v>
      </c>
      <c r="O82" s="87">
        <v>0</v>
      </c>
      <c r="P82" s="87">
        <v>0</v>
      </c>
      <c r="Q82" s="87">
        <v>0</v>
      </c>
      <c r="R82" s="119">
        <f t="shared" si="57"/>
        <v>0</v>
      </c>
      <c r="S82" s="87">
        <v>0</v>
      </c>
      <c r="T82" s="87">
        <v>0</v>
      </c>
      <c r="U82" s="87">
        <v>0</v>
      </c>
      <c r="V82" s="87">
        <v>0</v>
      </c>
      <c r="W82" s="87">
        <v>0</v>
      </c>
      <c r="X82" s="87">
        <v>0</v>
      </c>
      <c r="Y82" s="87">
        <v>0</v>
      </c>
      <c r="Z82" s="87">
        <v>0</v>
      </c>
      <c r="AA82" s="87">
        <v>0</v>
      </c>
      <c r="AB82" s="87">
        <v>0</v>
      </c>
      <c r="AC82" s="161">
        <v>0</v>
      </c>
      <c r="AD82" s="148">
        <f t="shared" si="58"/>
        <v>0</v>
      </c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</row>
    <row r="83" spans="1:246">
      <c r="A83" s="29"/>
      <c r="B83" s="10" t="s">
        <v>89</v>
      </c>
      <c r="C83" s="30"/>
      <c r="D83" s="31"/>
      <c r="E83" s="32"/>
      <c r="F83" s="33">
        <f>H83+I83+AD83</f>
        <v>3000</v>
      </c>
      <c r="G83" s="34">
        <v>0</v>
      </c>
      <c r="H83" s="33">
        <v>0</v>
      </c>
      <c r="I83" s="33">
        <f t="shared" si="54"/>
        <v>3000</v>
      </c>
      <c r="J83" s="33">
        <v>0</v>
      </c>
      <c r="K83" s="33">
        <v>0</v>
      </c>
      <c r="L83" s="33">
        <v>0</v>
      </c>
      <c r="M83" s="44">
        <v>3000</v>
      </c>
      <c r="N83" s="87">
        <v>0</v>
      </c>
      <c r="O83" s="87">
        <v>0</v>
      </c>
      <c r="P83" s="87">
        <v>0</v>
      </c>
      <c r="Q83" s="87">
        <v>0</v>
      </c>
      <c r="R83" s="119">
        <f t="shared" si="57"/>
        <v>0</v>
      </c>
      <c r="S83" s="87">
        <v>0</v>
      </c>
      <c r="T83" s="87">
        <v>0</v>
      </c>
      <c r="U83" s="87">
        <v>0</v>
      </c>
      <c r="V83" s="87">
        <v>0</v>
      </c>
      <c r="W83" s="87">
        <v>0</v>
      </c>
      <c r="X83" s="87">
        <v>0</v>
      </c>
      <c r="Y83" s="87">
        <v>0</v>
      </c>
      <c r="Z83" s="87">
        <v>0</v>
      </c>
      <c r="AA83" s="87">
        <v>0</v>
      </c>
      <c r="AB83" s="87">
        <v>0</v>
      </c>
      <c r="AC83" s="161">
        <v>0</v>
      </c>
      <c r="AD83" s="148">
        <f t="shared" si="58"/>
        <v>0</v>
      </c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</row>
    <row r="84" spans="1:246">
      <c r="A84" s="29"/>
      <c r="B84" s="10" t="s">
        <v>32</v>
      </c>
      <c r="C84" s="30"/>
      <c r="D84" s="31"/>
      <c r="E84" s="32"/>
      <c r="F84" s="33">
        <f>H84+I84+AD84</f>
        <v>3680.41</v>
      </c>
      <c r="G84" s="34">
        <v>0</v>
      </c>
      <c r="H84" s="33">
        <v>0</v>
      </c>
      <c r="I84" s="33">
        <f t="shared" si="54"/>
        <v>3680.41</v>
      </c>
      <c r="J84" s="33">
        <v>0</v>
      </c>
      <c r="K84" s="33">
        <v>0</v>
      </c>
      <c r="L84" s="39">
        <v>2456</v>
      </c>
      <c r="M84" s="39">
        <v>1224.4100000000001</v>
      </c>
      <c r="N84" s="87">
        <v>0</v>
      </c>
      <c r="O84" s="87">
        <v>0</v>
      </c>
      <c r="P84" s="87">
        <v>0</v>
      </c>
      <c r="Q84" s="87">
        <v>0</v>
      </c>
      <c r="R84" s="119">
        <f t="shared" si="57"/>
        <v>0</v>
      </c>
      <c r="S84" s="87">
        <v>0</v>
      </c>
      <c r="T84" s="87">
        <v>0</v>
      </c>
      <c r="U84" s="87">
        <v>0</v>
      </c>
      <c r="V84" s="87">
        <v>0</v>
      </c>
      <c r="W84" s="87">
        <v>0</v>
      </c>
      <c r="X84" s="87">
        <v>0</v>
      </c>
      <c r="Y84" s="87">
        <v>0</v>
      </c>
      <c r="Z84" s="87">
        <v>0</v>
      </c>
      <c r="AA84" s="87">
        <v>0</v>
      </c>
      <c r="AB84" s="87">
        <v>0</v>
      </c>
      <c r="AC84" s="161">
        <v>0</v>
      </c>
      <c r="AD84" s="148">
        <f t="shared" si="58"/>
        <v>0</v>
      </c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</row>
    <row r="85" spans="1:246" ht="22.5">
      <c r="A85" s="20">
        <v>26</v>
      </c>
      <c r="B85" s="23" t="s">
        <v>90</v>
      </c>
      <c r="C85" s="24" t="s">
        <v>91</v>
      </c>
      <c r="D85" s="25" t="s">
        <v>128</v>
      </c>
      <c r="E85" s="26">
        <f>F86</f>
        <v>7714.04</v>
      </c>
      <c r="F85" s="27">
        <f>F86</f>
        <v>7714.04</v>
      </c>
      <c r="G85" s="28">
        <f>G86</f>
        <v>0</v>
      </c>
      <c r="H85" s="28">
        <f>H86</f>
        <v>0</v>
      </c>
      <c r="I85" s="28">
        <f>SUM(K85:O85)</f>
        <v>6514.04</v>
      </c>
      <c r="J85" s="27">
        <f>J86</f>
        <v>0</v>
      </c>
      <c r="K85" s="27">
        <f t="shared" ref="K85:AD85" si="63">K86</f>
        <v>500</v>
      </c>
      <c r="L85" s="27">
        <f t="shared" si="63"/>
        <v>1500</v>
      </c>
      <c r="M85" s="27">
        <f t="shared" si="63"/>
        <v>1500</v>
      </c>
      <c r="N85" s="85">
        <f t="shared" si="63"/>
        <v>1500</v>
      </c>
      <c r="O85" s="85">
        <f t="shared" si="63"/>
        <v>1514.04</v>
      </c>
      <c r="P85" s="85">
        <f t="shared" si="63"/>
        <v>1200</v>
      </c>
      <c r="Q85" s="85">
        <f t="shared" si="63"/>
        <v>0</v>
      </c>
      <c r="R85" s="118">
        <f t="shared" si="63"/>
        <v>0</v>
      </c>
      <c r="S85" s="85">
        <f t="shared" si="63"/>
        <v>0</v>
      </c>
      <c r="T85" s="85">
        <f t="shared" si="63"/>
        <v>0</v>
      </c>
      <c r="U85" s="85">
        <f t="shared" si="63"/>
        <v>0</v>
      </c>
      <c r="V85" s="85">
        <f t="shared" si="63"/>
        <v>0</v>
      </c>
      <c r="W85" s="85">
        <f t="shared" si="63"/>
        <v>0</v>
      </c>
      <c r="X85" s="85">
        <f t="shared" si="63"/>
        <v>0</v>
      </c>
      <c r="Y85" s="85">
        <f t="shared" si="63"/>
        <v>0</v>
      </c>
      <c r="Z85" s="85">
        <f t="shared" si="63"/>
        <v>0</v>
      </c>
      <c r="AA85" s="85">
        <f t="shared" si="63"/>
        <v>0</v>
      </c>
      <c r="AB85" s="85">
        <f t="shared" si="63"/>
        <v>0</v>
      </c>
      <c r="AC85" s="150">
        <f t="shared" si="63"/>
        <v>0</v>
      </c>
      <c r="AD85" s="146">
        <f t="shared" si="63"/>
        <v>1200</v>
      </c>
    </row>
    <row r="86" spans="1:246">
      <c r="A86" s="29"/>
      <c r="B86" s="10" t="s">
        <v>31</v>
      </c>
      <c r="C86" s="30"/>
      <c r="D86" s="31"/>
      <c r="E86" s="32"/>
      <c r="F86" s="33">
        <f>H86+I86+AD86</f>
        <v>7714.04</v>
      </c>
      <c r="G86" s="34">
        <v>0</v>
      </c>
      <c r="H86" s="45">
        <v>0</v>
      </c>
      <c r="I86" s="33">
        <f>SUM(K86:O86)</f>
        <v>6514.04</v>
      </c>
      <c r="J86" s="33">
        <v>0</v>
      </c>
      <c r="K86" s="33">
        <v>500</v>
      </c>
      <c r="L86" s="33">
        <v>1500</v>
      </c>
      <c r="M86" s="33">
        <v>1500</v>
      </c>
      <c r="N86" s="87">
        <v>1500</v>
      </c>
      <c r="O86" s="87">
        <v>1514.04</v>
      </c>
      <c r="P86" s="87">
        <v>1200</v>
      </c>
      <c r="Q86" s="87">
        <v>0</v>
      </c>
      <c r="R86" s="119">
        <f>SUM(S86:AC86)</f>
        <v>0</v>
      </c>
      <c r="S86" s="87">
        <v>0</v>
      </c>
      <c r="T86" s="87">
        <v>0</v>
      </c>
      <c r="U86" s="87">
        <v>0</v>
      </c>
      <c r="V86" s="87">
        <v>0</v>
      </c>
      <c r="W86" s="87">
        <v>0</v>
      </c>
      <c r="X86" s="87">
        <v>0</v>
      </c>
      <c r="Y86" s="87">
        <v>0</v>
      </c>
      <c r="Z86" s="87">
        <v>0</v>
      </c>
      <c r="AA86" s="87">
        <v>0</v>
      </c>
      <c r="AB86" s="87">
        <v>0</v>
      </c>
      <c r="AC86" s="161">
        <v>0</v>
      </c>
      <c r="AD86" s="148">
        <f t="shared" si="58"/>
        <v>1200</v>
      </c>
    </row>
    <row r="87" spans="1:246" ht="22.5">
      <c r="A87" s="20">
        <v>27</v>
      </c>
      <c r="B87" s="23" t="s">
        <v>93</v>
      </c>
      <c r="C87" s="24" t="s">
        <v>94</v>
      </c>
      <c r="D87" s="25" t="s">
        <v>392</v>
      </c>
      <c r="E87" s="26">
        <f>F88</f>
        <v>13998.649000000001</v>
      </c>
      <c r="F87" s="27">
        <f>F88+F89</f>
        <v>15446.889000000001</v>
      </c>
      <c r="G87" s="27">
        <f>G88+G89</f>
        <v>4017.5819999999999</v>
      </c>
      <c r="H87" s="27">
        <f>H88+H89</f>
        <v>4017.5819999999999</v>
      </c>
      <c r="I87" s="28">
        <f>SUM(K87:O87)</f>
        <v>8929.3070000000007</v>
      </c>
      <c r="J87" s="27">
        <f>J88+J89</f>
        <v>0</v>
      </c>
      <c r="K87" s="27">
        <f t="shared" ref="K87:Q87" si="64">K88+K89</f>
        <v>0</v>
      </c>
      <c r="L87" s="27">
        <f t="shared" si="64"/>
        <v>50</v>
      </c>
      <c r="M87" s="27">
        <f t="shared" si="64"/>
        <v>2946.8429999999998</v>
      </c>
      <c r="N87" s="85">
        <f t="shared" si="64"/>
        <v>5932.4639999999999</v>
      </c>
      <c r="O87" s="85">
        <f t="shared" si="64"/>
        <v>0</v>
      </c>
      <c r="P87" s="85">
        <f t="shared" si="64"/>
        <v>300</v>
      </c>
      <c r="Q87" s="85">
        <f t="shared" si="64"/>
        <v>2200</v>
      </c>
      <c r="R87" s="118">
        <f>SUM(S87:AC87)</f>
        <v>0</v>
      </c>
      <c r="S87" s="85">
        <f>S88+S89</f>
        <v>0</v>
      </c>
      <c r="T87" s="85">
        <f t="shared" ref="T87:AC87" si="65">T88+T89</f>
        <v>0</v>
      </c>
      <c r="U87" s="85">
        <f t="shared" si="65"/>
        <v>0</v>
      </c>
      <c r="V87" s="85">
        <f t="shared" si="65"/>
        <v>0</v>
      </c>
      <c r="W87" s="85">
        <f t="shared" si="65"/>
        <v>0</v>
      </c>
      <c r="X87" s="85">
        <f t="shared" si="65"/>
        <v>0</v>
      </c>
      <c r="Y87" s="85">
        <f t="shared" si="65"/>
        <v>0</v>
      </c>
      <c r="Z87" s="85">
        <f t="shared" si="65"/>
        <v>0</v>
      </c>
      <c r="AA87" s="85">
        <f t="shared" si="65"/>
        <v>0</v>
      </c>
      <c r="AB87" s="85">
        <f t="shared" si="65"/>
        <v>0</v>
      </c>
      <c r="AC87" s="150">
        <f t="shared" si="65"/>
        <v>0</v>
      </c>
      <c r="AD87" s="146">
        <f t="shared" si="58"/>
        <v>2500</v>
      </c>
    </row>
    <row r="88" spans="1:246">
      <c r="A88" s="29"/>
      <c r="B88" s="10" t="s">
        <v>31</v>
      </c>
      <c r="C88" s="30"/>
      <c r="D88" s="31"/>
      <c r="E88" s="32"/>
      <c r="F88" s="33">
        <f>H88+I88+AD88</f>
        <v>13998.649000000001</v>
      </c>
      <c r="G88" s="34">
        <v>3100.451</v>
      </c>
      <c r="H88" s="33">
        <v>3100.451</v>
      </c>
      <c r="I88" s="33">
        <f>SUM(K88:O88)</f>
        <v>8398.1980000000003</v>
      </c>
      <c r="J88" s="33">
        <v>0</v>
      </c>
      <c r="K88" s="33">
        <v>0</v>
      </c>
      <c r="L88" s="33">
        <v>50</v>
      </c>
      <c r="M88" s="35">
        <v>2415.7339999999999</v>
      </c>
      <c r="N88" s="86">
        <v>5932.4639999999999</v>
      </c>
      <c r="O88" s="87">
        <v>0</v>
      </c>
      <c r="P88" s="87">
        <v>300</v>
      </c>
      <c r="Q88" s="87">
        <v>2200</v>
      </c>
      <c r="R88" s="119">
        <f>SUM(S88:AC88)</f>
        <v>0</v>
      </c>
      <c r="S88" s="87">
        <v>0</v>
      </c>
      <c r="T88" s="87">
        <v>0</v>
      </c>
      <c r="U88" s="87">
        <v>0</v>
      </c>
      <c r="V88" s="87">
        <v>0</v>
      </c>
      <c r="W88" s="87">
        <v>0</v>
      </c>
      <c r="X88" s="87">
        <v>0</v>
      </c>
      <c r="Y88" s="87">
        <v>0</v>
      </c>
      <c r="Z88" s="87">
        <v>0</v>
      </c>
      <c r="AA88" s="87">
        <v>0</v>
      </c>
      <c r="AB88" s="87">
        <v>0</v>
      </c>
      <c r="AC88" s="161">
        <v>0</v>
      </c>
      <c r="AD88" s="148">
        <f t="shared" si="58"/>
        <v>2500</v>
      </c>
    </row>
    <row r="89" spans="1:246">
      <c r="A89" s="40"/>
      <c r="B89" s="10" t="s">
        <v>95</v>
      </c>
      <c r="C89" s="30"/>
      <c r="D89" s="31"/>
      <c r="E89" s="32"/>
      <c r="F89" s="33">
        <f>H89+I89+AD89</f>
        <v>1448.24</v>
      </c>
      <c r="G89" s="34">
        <v>917.13099999999997</v>
      </c>
      <c r="H89" s="33">
        <v>917.13099999999997</v>
      </c>
      <c r="I89" s="33">
        <f>SUM(K89:O89)</f>
        <v>531.10900000000004</v>
      </c>
      <c r="J89" s="33">
        <v>0</v>
      </c>
      <c r="K89" s="33">
        <v>0</v>
      </c>
      <c r="L89" s="33">
        <v>0</v>
      </c>
      <c r="M89" s="33">
        <v>531.10900000000004</v>
      </c>
      <c r="N89" s="87">
        <v>0</v>
      </c>
      <c r="O89" s="87">
        <v>0</v>
      </c>
      <c r="P89" s="87">
        <v>0</v>
      </c>
      <c r="Q89" s="87">
        <v>0</v>
      </c>
      <c r="R89" s="119">
        <f>SUM(S89:AC89)</f>
        <v>0</v>
      </c>
      <c r="S89" s="87">
        <v>0</v>
      </c>
      <c r="T89" s="87">
        <v>0</v>
      </c>
      <c r="U89" s="87">
        <v>0</v>
      </c>
      <c r="V89" s="87">
        <v>0</v>
      </c>
      <c r="W89" s="87">
        <v>0</v>
      </c>
      <c r="X89" s="87">
        <v>0</v>
      </c>
      <c r="Y89" s="87">
        <v>0</v>
      </c>
      <c r="Z89" s="87">
        <v>0</v>
      </c>
      <c r="AA89" s="87">
        <v>0</v>
      </c>
      <c r="AB89" s="87">
        <v>0</v>
      </c>
      <c r="AC89" s="161">
        <v>0</v>
      </c>
      <c r="AD89" s="148">
        <f t="shared" si="58"/>
        <v>0</v>
      </c>
    </row>
    <row r="90" spans="1:246" ht="39" customHeight="1">
      <c r="A90" s="20">
        <v>28</v>
      </c>
      <c r="B90" s="23" t="s">
        <v>331</v>
      </c>
      <c r="C90" s="24" t="s">
        <v>339</v>
      </c>
      <c r="D90" s="25" t="s">
        <v>375</v>
      </c>
      <c r="E90" s="26">
        <f>F91</f>
        <v>232426.99</v>
      </c>
      <c r="F90" s="27">
        <f>F91+F92+F93</f>
        <v>370745.734</v>
      </c>
      <c r="G90" s="27">
        <f>G91+G92</f>
        <v>0</v>
      </c>
      <c r="H90" s="27">
        <f>H91+H92</f>
        <v>0</v>
      </c>
      <c r="I90" s="28">
        <f t="shared" ref="I90:I107" si="66">SUM(K90:O90)</f>
        <v>20478.259999999998</v>
      </c>
      <c r="J90" s="27">
        <f>J91+J92</f>
        <v>0</v>
      </c>
      <c r="K90" s="27">
        <f>K91+K92</f>
        <v>0</v>
      </c>
      <c r="L90" s="27">
        <f>L91+L92</f>
        <v>160.63800000000001</v>
      </c>
      <c r="M90" s="28">
        <f>M91+M92</f>
        <v>191.26500000000004</v>
      </c>
      <c r="N90" s="85">
        <f>N91+N92</f>
        <v>1.966</v>
      </c>
      <c r="O90" s="85">
        <f>O91+O92+O93</f>
        <v>20124.391</v>
      </c>
      <c r="P90" s="85">
        <f>P91+P92+P93</f>
        <v>117496.18899999998</v>
      </c>
      <c r="Q90" s="85">
        <f>Q91+Q92+Q93</f>
        <v>93871.125999999989</v>
      </c>
      <c r="R90" s="118">
        <f>R91+R92+R93</f>
        <v>138900.15900000001</v>
      </c>
      <c r="S90" s="85">
        <f t="shared" ref="S90:AC90" si="67">S91+S92+S93</f>
        <v>76575.269000000015</v>
      </c>
      <c r="T90" s="85">
        <f t="shared" si="67"/>
        <v>62324.89</v>
      </c>
      <c r="U90" s="85">
        <f t="shared" si="67"/>
        <v>0</v>
      </c>
      <c r="V90" s="85">
        <f t="shared" si="67"/>
        <v>0</v>
      </c>
      <c r="W90" s="85">
        <f t="shared" si="67"/>
        <v>0</v>
      </c>
      <c r="X90" s="85">
        <f t="shared" si="67"/>
        <v>0</v>
      </c>
      <c r="Y90" s="85">
        <f t="shared" si="67"/>
        <v>0</v>
      </c>
      <c r="Z90" s="85">
        <f t="shared" si="67"/>
        <v>0</v>
      </c>
      <c r="AA90" s="85">
        <f t="shared" si="67"/>
        <v>0</v>
      </c>
      <c r="AB90" s="85">
        <f t="shared" si="67"/>
        <v>0</v>
      </c>
      <c r="AC90" s="150">
        <f t="shared" si="67"/>
        <v>0</v>
      </c>
      <c r="AD90" s="146">
        <f>AD91+AD92+AD93</f>
        <v>350267.47399999999</v>
      </c>
    </row>
    <row r="91" spans="1:246">
      <c r="A91" s="29"/>
      <c r="B91" s="10" t="s">
        <v>31</v>
      </c>
      <c r="C91" s="33"/>
      <c r="D91" s="33"/>
      <c r="E91" s="33"/>
      <c r="F91" s="33">
        <f>H91+I91+AD91</f>
        <v>232426.99</v>
      </c>
      <c r="G91" s="33">
        <v>0</v>
      </c>
      <c r="H91" s="33">
        <v>0</v>
      </c>
      <c r="I91" s="33">
        <f t="shared" si="66"/>
        <v>9678.3590000000004</v>
      </c>
      <c r="J91" s="11">
        <v>0</v>
      </c>
      <c r="K91" s="11">
        <v>0</v>
      </c>
      <c r="L91" s="12">
        <v>68.763000000000005</v>
      </c>
      <c r="M91" s="46">
        <f>269.956-4.52-150</f>
        <v>115.43600000000004</v>
      </c>
      <c r="N91" s="94">
        <v>1.966</v>
      </c>
      <c r="O91" s="94">
        <f>9442.082+50.112</f>
        <v>9492.1939999999995</v>
      </c>
      <c r="P91" s="91">
        <f>64795.149+500.888</f>
        <v>65296.036999999997</v>
      </c>
      <c r="Q91" s="91">
        <f>50676.59+515.755</f>
        <v>51192.344999999994</v>
      </c>
      <c r="R91" s="119">
        <f>SUM(S91:AC91)</f>
        <v>106260.24900000001</v>
      </c>
      <c r="S91" s="91">
        <f>43391.625+507.245+272.978</f>
        <v>44171.848000000005</v>
      </c>
      <c r="T91" s="91">
        <f>61862.401+226</f>
        <v>62088.400999999998</v>
      </c>
      <c r="U91" s="91">
        <v>0</v>
      </c>
      <c r="V91" s="91">
        <v>0</v>
      </c>
      <c r="W91" s="91">
        <v>0</v>
      </c>
      <c r="X91" s="91">
        <v>0</v>
      </c>
      <c r="Y91" s="91">
        <v>0</v>
      </c>
      <c r="Z91" s="91">
        <v>0</v>
      </c>
      <c r="AA91" s="91">
        <v>0</v>
      </c>
      <c r="AB91" s="91">
        <v>0</v>
      </c>
      <c r="AC91" s="163">
        <v>0</v>
      </c>
      <c r="AD91" s="148">
        <f t="shared" si="58"/>
        <v>222748.63099999999</v>
      </c>
    </row>
    <row r="92" spans="1:246">
      <c r="A92" s="29"/>
      <c r="B92" s="38" t="s">
        <v>41</v>
      </c>
      <c r="C92" s="33"/>
      <c r="D92" s="33"/>
      <c r="E92" s="33"/>
      <c r="F92" s="33">
        <f>H92+I92+AD92</f>
        <v>109780.893</v>
      </c>
      <c r="G92" s="33">
        <v>0</v>
      </c>
      <c r="H92" s="33">
        <v>0</v>
      </c>
      <c r="I92" s="33">
        <f t="shared" si="66"/>
        <v>7742.1210000000001</v>
      </c>
      <c r="J92" s="11">
        <v>0</v>
      </c>
      <c r="K92" s="11">
        <v>0</v>
      </c>
      <c r="L92" s="12">
        <v>91.875</v>
      </c>
      <c r="M92" s="46">
        <f>78.567-2.738</f>
        <v>75.828999999999994</v>
      </c>
      <c r="N92" s="94">
        <v>0</v>
      </c>
      <c r="O92" s="94">
        <v>7574.4170000000004</v>
      </c>
      <c r="P92" s="91">
        <v>43637.572999999997</v>
      </c>
      <c r="Q92" s="91">
        <v>38678.781000000003</v>
      </c>
      <c r="R92" s="119">
        <f>SUM(S92:AC92)</f>
        <v>19722.418000000001</v>
      </c>
      <c r="S92" s="91">
        <f>219.022+19501.754</f>
        <v>19720.776000000002</v>
      </c>
      <c r="T92" s="91">
        <v>1.6419999999999999</v>
      </c>
      <c r="U92" s="91">
        <v>0</v>
      </c>
      <c r="V92" s="91">
        <v>0</v>
      </c>
      <c r="W92" s="91">
        <v>0</v>
      </c>
      <c r="X92" s="91">
        <v>0</v>
      </c>
      <c r="Y92" s="91">
        <v>0</v>
      </c>
      <c r="Z92" s="91">
        <v>0</v>
      </c>
      <c r="AA92" s="91">
        <v>0</v>
      </c>
      <c r="AB92" s="91">
        <v>0</v>
      </c>
      <c r="AC92" s="163">
        <v>0</v>
      </c>
      <c r="AD92" s="148">
        <f t="shared" si="58"/>
        <v>102038.772</v>
      </c>
    </row>
    <row r="93" spans="1:246">
      <c r="A93" s="29"/>
      <c r="B93" s="10" t="s">
        <v>95</v>
      </c>
      <c r="C93" s="33"/>
      <c r="D93" s="33"/>
      <c r="E93" s="33"/>
      <c r="F93" s="33">
        <f>H93+I93+AD93</f>
        <v>28537.850999999999</v>
      </c>
      <c r="G93" s="33"/>
      <c r="H93" s="33"/>
      <c r="I93" s="33">
        <f t="shared" si="66"/>
        <v>3057.78</v>
      </c>
      <c r="J93" s="11"/>
      <c r="K93" s="11">
        <v>0</v>
      </c>
      <c r="L93" s="12">
        <v>0</v>
      </c>
      <c r="M93" s="46">
        <v>0</v>
      </c>
      <c r="N93" s="94">
        <v>0</v>
      </c>
      <c r="O93" s="94">
        <v>3057.78</v>
      </c>
      <c r="P93" s="91">
        <v>8562.5789999999997</v>
      </c>
      <c r="Q93" s="91">
        <v>4000</v>
      </c>
      <c r="R93" s="119">
        <f>SUM(S93:AC93)</f>
        <v>12917.492</v>
      </c>
      <c r="S93" s="91">
        <v>12682.645</v>
      </c>
      <c r="T93" s="91">
        <v>234.84700000000001</v>
      </c>
      <c r="U93" s="91">
        <v>0</v>
      </c>
      <c r="V93" s="91">
        <v>0</v>
      </c>
      <c r="W93" s="91">
        <v>0</v>
      </c>
      <c r="X93" s="91">
        <v>0</v>
      </c>
      <c r="Y93" s="91">
        <v>0</v>
      </c>
      <c r="Z93" s="91">
        <v>0</v>
      </c>
      <c r="AA93" s="91">
        <v>0</v>
      </c>
      <c r="AB93" s="91">
        <v>0</v>
      </c>
      <c r="AC93" s="163">
        <v>0</v>
      </c>
      <c r="AD93" s="148">
        <f t="shared" si="58"/>
        <v>25480.071</v>
      </c>
    </row>
    <row r="94" spans="1:246" ht="40.5" customHeight="1">
      <c r="A94" s="20">
        <v>29</v>
      </c>
      <c r="B94" s="23" t="s">
        <v>97</v>
      </c>
      <c r="C94" s="24" t="s">
        <v>51</v>
      </c>
      <c r="D94" s="25" t="s">
        <v>374</v>
      </c>
      <c r="E94" s="26">
        <f>F95</f>
        <v>232000</v>
      </c>
      <c r="F94" s="27">
        <f>F95+F96+F97</f>
        <v>242437.32</v>
      </c>
      <c r="G94" s="27">
        <f>G95+G96</f>
        <v>0</v>
      </c>
      <c r="H94" s="27">
        <f>H95+H96</f>
        <v>0</v>
      </c>
      <c r="I94" s="28">
        <f t="shared" si="66"/>
        <v>2700</v>
      </c>
      <c r="J94" s="27">
        <f>J95+J96</f>
        <v>0</v>
      </c>
      <c r="K94" s="27">
        <f>K95+K96</f>
        <v>0</v>
      </c>
      <c r="L94" s="27">
        <f>L95+L96</f>
        <v>0</v>
      </c>
      <c r="M94" s="27">
        <f>M95+M96</f>
        <v>0</v>
      </c>
      <c r="N94" s="85">
        <f>N95+N96</f>
        <v>0</v>
      </c>
      <c r="O94" s="85">
        <f>O95+O96+O97</f>
        <v>2700</v>
      </c>
      <c r="P94" s="85">
        <f>P95+P96+P97</f>
        <v>35470.087</v>
      </c>
      <c r="Q94" s="85">
        <f>Q95+Q96+Q97</f>
        <v>93267.232999999993</v>
      </c>
      <c r="R94" s="118">
        <f>R95+R96+R97</f>
        <v>111000</v>
      </c>
      <c r="S94" s="85">
        <f>S95+S96+S97</f>
        <v>88000</v>
      </c>
      <c r="T94" s="85">
        <f t="shared" ref="T94:AD94" si="68">T95+T96+T97</f>
        <v>23000</v>
      </c>
      <c r="U94" s="85">
        <f t="shared" si="68"/>
        <v>0</v>
      </c>
      <c r="V94" s="85">
        <f t="shared" si="68"/>
        <v>0</v>
      </c>
      <c r="W94" s="85">
        <f t="shared" si="68"/>
        <v>0</v>
      </c>
      <c r="X94" s="85">
        <f t="shared" si="68"/>
        <v>0</v>
      </c>
      <c r="Y94" s="85">
        <f t="shared" si="68"/>
        <v>0</v>
      </c>
      <c r="Z94" s="85">
        <f t="shared" si="68"/>
        <v>0</v>
      </c>
      <c r="AA94" s="85">
        <f t="shared" si="68"/>
        <v>0</v>
      </c>
      <c r="AB94" s="85">
        <f t="shared" si="68"/>
        <v>0</v>
      </c>
      <c r="AC94" s="150">
        <f t="shared" si="68"/>
        <v>0</v>
      </c>
      <c r="AD94" s="150">
        <f t="shared" si="68"/>
        <v>239737.32</v>
      </c>
    </row>
    <row r="95" spans="1:246">
      <c r="A95" s="29"/>
      <c r="B95" s="10" t="s">
        <v>31</v>
      </c>
      <c r="C95" s="33"/>
      <c r="D95" s="33"/>
      <c r="E95" s="33"/>
      <c r="F95" s="33">
        <f>H95+I95+AD95</f>
        <v>232000</v>
      </c>
      <c r="G95" s="33">
        <v>0</v>
      </c>
      <c r="H95" s="33">
        <v>0</v>
      </c>
      <c r="I95" s="33">
        <f t="shared" si="66"/>
        <v>2700</v>
      </c>
      <c r="J95" s="11">
        <v>0</v>
      </c>
      <c r="K95" s="11">
        <v>0</v>
      </c>
      <c r="L95" s="42">
        <v>0</v>
      </c>
      <c r="M95" s="12">
        <v>0</v>
      </c>
      <c r="N95" s="90">
        <v>0</v>
      </c>
      <c r="O95" s="94">
        <v>2700</v>
      </c>
      <c r="P95" s="94">
        <v>32032.767</v>
      </c>
      <c r="Q95" s="94">
        <v>88267.232999999993</v>
      </c>
      <c r="R95" s="140">
        <f t="shared" ref="R95:R104" si="69">SUM(S95:AC95)</f>
        <v>109000</v>
      </c>
      <c r="S95" s="94">
        <v>87000</v>
      </c>
      <c r="T95" s="94">
        <v>22000</v>
      </c>
      <c r="U95" s="94">
        <v>0</v>
      </c>
      <c r="V95" s="94">
        <v>0</v>
      </c>
      <c r="W95" s="94">
        <v>0</v>
      </c>
      <c r="X95" s="94">
        <v>0</v>
      </c>
      <c r="Y95" s="94">
        <v>0</v>
      </c>
      <c r="Z95" s="94">
        <v>0</v>
      </c>
      <c r="AA95" s="94">
        <v>0</v>
      </c>
      <c r="AB95" s="94">
        <v>0</v>
      </c>
      <c r="AC95" s="165">
        <v>0</v>
      </c>
      <c r="AD95" s="148">
        <f t="shared" si="58"/>
        <v>229300</v>
      </c>
    </row>
    <row r="96" spans="1:246">
      <c r="A96" s="29"/>
      <c r="B96" s="38" t="s">
        <v>41</v>
      </c>
      <c r="C96" s="33"/>
      <c r="D96" s="33"/>
      <c r="E96" s="33"/>
      <c r="F96" s="33">
        <f>H96+I96+AD96</f>
        <v>0</v>
      </c>
      <c r="G96" s="33">
        <v>0</v>
      </c>
      <c r="H96" s="33">
        <v>0</v>
      </c>
      <c r="I96" s="33">
        <f t="shared" si="66"/>
        <v>0</v>
      </c>
      <c r="J96" s="11">
        <v>0</v>
      </c>
      <c r="K96" s="11">
        <v>0</v>
      </c>
      <c r="L96" s="42">
        <v>0</v>
      </c>
      <c r="M96" s="12">
        <v>0</v>
      </c>
      <c r="N96" s="90">
        <v>0</v>
      </c>
      <c r="O96" s="94">
        <v>0</v>
      </c>
      <c r="P96" s="94">
        <v>0</v>
      </c>
      <c r="Q96" s="94">
        <v>0</v>
      </c>
      <c r="R96" s="119">
        <f t="shared" si="69"/>
        <v>0</v>
      </c>
      <c r="S96" s="94">
        <v>0</v>
      </c>
      <c r="T96" s="94">
        <v>0</v>
      </c>
      <c r="U96" s="94">
        <v>0</v>
      </c>
      <c r="V96" s="94">
        <v>0</v>
      </c>
      <c r="W96" s="94">
        <v>0</v>
      </c>
      <c r="X96" s="94">
        <v>0</v>
      </c>
      <c r="Y96" s="94">
        <v>0</v>
      </c>
      <c r="Z96" s="94">
        <v>0</v>
      </c>
      <c r="AA96" s="94">
        <v>0</v>
      </c>
      <c r="AB96" s="94">
        <v>0</v>
      </c>
      <c r="AC96" s="165">
        <v>0</v>
      </c>
      <c r="AD96" s="148">
        <f t="shared" si="58"/>
        <v>0</v>
      </c>
    </row>
    <row r="97" spans="1:246">
      <c r="A97" s="29"/>
      <c r="B97" s="10" t="s">
        <v>95</v>
      </c>
      <c r="C97" s="33"/>
      <c r="D97" s="33"/>
      <c r="E97" s="33"/>
      <c r="F97" s="33">
        <f>H97+I97+AD97</f>
        <v>10437.32</v>
      </c>
      <c r="G97" s="33"/>
      <c r="H97" s="33"/>
      <c r="I97" s="33">
        <f t="shared" si="66"/>
        <v>0</v>
      </c>
      <c r="J97" s="11"/>
      <c r="K97" s="11"/>
      <c r="L97" s="42"/>
      <c r="M97" s="12"/>
      <c r="N97" s="90"/>
      <c r="O97" s="94">
        <v>0</v>
      </c>
      <c r="P97" s="109">
        <v>3437.32</v>
      </c>
      <c r="Q97" s="109">
        <v>5000</v>
      </c>
      <c r="R97" s="119">
        <f t="shared" si="69"/>
        <v>2000</v>
      </c>
      <c r="S97" s="109">
        <v>1000</v>
      </c>
      <c r="T97" s="94">
        <v>1000</v>
      </c>
      <c r="U97" s="94">
        <v>0</v>
      </c>
      <c r="V97" s="94">
        <v>0</v>
      </c>
      <c r="W97" s="94">
        <v>0</v>
      </c>
      <c r="X97" s="94">
        <v>0</v>
      </c>
      <c r="Y97" s="94">
        <v>0</v>
      </c>
      <c r="Z97" s="94">
        <v>0</v>
      </c>
      <c r="AA97" s="94">
        <v>0</v>
      </c>
      <c r="AB97" s="94">
        <v>0</v>
      </c>
      <c r="AC97" s="165">
        <v>0</v>
      </c>
      <c r="AD97" s="148">
        <f t="shared" si="58"/>
        <v>10437.32</v>
      </c>
    </row>
    <row r="98" spans="1:246" ht="30.75" customHeight="1">
      <c r="A98" s="20">
        <v>30</v>
      </c>
      <c r="B98" s="23" t="s">
        <v>98</v>
      </c>
      <c r="C98" s="24" t="s">
        <v>316</v>
      </c>
      <c r="D98" s="25" t="s">
        <v>99</v>
      </c>
      <c r="E98" s="26">
        <f>F99</f>
        <v>4603.277</v>
      </c>
      <c r="F98" s="27">
        <f>F99+F100</f>
        <v>23087.542999999998</v>
      </c>
      <c r="G98" s="27">
        <f>G99+G100</f>
        <v>0</v>
      </c>
      <c r="H98" s="27">
        <f>H99+H100</f>
        <v>0</v>
      </c>
      <c r="I98" s="28">
        <f t="shared" si="66"/>
        <v>23087.542999999998</v>
      </c>
      <c r="J98" s="27">
        <f t="shared" ref="J98:Q98" si="70">J99+J100</f>
        <v>0</v>
      </c>
      <c r="K98" s="27">
        <f t="shared" si="70"/>
        <v>0</v>
      </c>
      <c r="L98" s="27">
        <f t="shared" si="70"/>
        <v>42.280999999999999</v>
      </c>
      <c r="M98" s="27">
        <f t="shared" si="70"/>
        <v>1033.077</v>
      </c>
      <c r="N98" s="85">
        <f t="shared" si="70"/>
        <v>22012.184999999998</v>
      </c>
      <c r="O98" s="85">
        <f t="shared" si="70"/>
        <v>0</v>
      </c>
      <c r="P98" s="85">
        <f t="shared" si="70"/>
        <v>0</v>
      </c>
      <c r="Q98" s="85">
        <f t="shared" si="70"/>
        <v>0</v>
      </c>
      <c r="R98" s="118">
        <f t="shared" si="69"/>
        <v>0</v>
      </c>
      <c r="S98" s="85">
        <f>S99+S100</f>
        <v>0</v>
      </c>
      <c r="T98" s="85">
        <f t="shared" ref="T98:AC98" si="71">T99+T100</f>
        <v>0</v>
      </c>
      <c r="U98" s="85">
        <f t="shared" si="71"/>
        <v>0</v>
      </c>
      <c r="V98" s="85">
        <f t="shared" si="71"/>
        <v>0</v>
      </c>
      <c r="W98" s="85">
        <f t="shared" si="71"/>
        <v>0</v>
      </c>
      <c r="X98" s="85">
        <f t="shared" si="71"/>
        <v>0</v>
      </c>
      <c r="Y98" s="85">
        <f t="shared" si="71"/>
        <v>0</v>
      </c>
      <c r="Z98" s="85">
        <f t="shared" si="71"/>
        <v>0</v>
      </c>
      <c r="AA98" s="85">
        <f t="shared" si="71"/>
        <v>0</v>
      </c>
      <c r="AB98" s="85">
        <f t="shared" si="71"/>
        <v>0</v>
      </c>
      <c r="AC98" s="150">
        <f t="shared" si="71"/>
        <v>0</v>
      </c>
      <c r="AD98" s="146">
        <f t="shared" si="58"/>
        <v>0</v>
      </c>
    </row>
    <row r="99" spans="1:246">
      <c r="A99" s="29"/>
      <c r="B99" s="10" t="s">
        <v>31</v>
      </c>
      <c r="C99" s="33"/>
      <c r="D99" s="33"/>
      <c r="E99" s="33"/>
      <c r="F99" s="33">
        <f>H99+I99+AD99</f>
        <v>4603.277</v>
      </c>
      <c r="G99" s="33">
        <v>0</v>
      </c>
      <c r="H99" s="33">
        <v>0</v>
      </c>
      <c r="I99" s="33">
        <f t="shared" si="66"/>
        <v>4603.277</v>
      </c>
      <c r="J99" s="11">
        <v>0</v>
      </c>
      <c r="K99" s="11">
        <v>0</v>
      </c>
      <c r="L99" s="12">
        <v>13.881</v>
      </c>
      <c r="M99" s="12">
        <f>173.271+2.685-18.711</f>
        <v>157.245</v>
      </c>
      <c r="N99" s="90">
        <v>4432.1509999999998</v>
      </c>
      <c r="O99" s="90">
        <f>207.87-207.87</f>
        <v>0</v>
      </c>
      <c r="P99" s="91">
        <v>0</v>
      </c>
      <c r="Q99" s="91">
        <v>0</v>
      </c>
      <c r="R99" s="119">
        <f t="shared" si="69"/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  <c r="AC99" s="163">
        <v>0</v>
      </c>
      <c r="AD99" s="148">
        <f t="shared" si="58"/>
        <v>0</v>
      </c>
    </row>
    <row r="100" spans="1:246">
      <c r="A100" s="29"/>
      <c r="B100" s="38" t="s">
        <v>41</v>
      </c>
      <c r="C100" s="33"/>
      <c r="D100" s="33"/>
      <c r="E100" s="33"/>
      <c r="F100" s="33">
        <f>H100+I100+AD100</f>
        <v>18484.266</v>
      </c>
      <c r="G100" s="33">
        <v>0</v>
      </c>
      <c r="H100" s="33">
        <v>0</v>
      </c>
      <c r="I100" s="33">
        <f t="shared" si="66"/>
        <v>18484.266</v>
      </c>
      <c r="J100" s="11">
        <v>0</v>
      </c>
      <c r="K100" s="11">
        <v>0</v>
      </c>
      <c r="L100" s="12">
        <v>28.4</v>
      </c>
      <c r="M100" s="12">
        <f>981.861-106.029</f>
        <v>875.83199999999999</v>
      </c>
      <c r="N100" s="90">
        <v>17580.034</v>
      </c>
      <c r="O100" s="90">
        <v>0</v>
      </c>
      <c r="P100" s="91">
        <v>0</v>
      </c>
      <c r="Q100" s="91">
        <v>0</v>
      </c>
      <c r="R100" s="119">
        <f t="shared" si="69"/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91">
        <v>0</v>
      </c>
      <c r="AA100" s="91">
        <v>0</v>
      </c>
      <c r="AB100" s="91">
        <v>0</v>
      </c>
      <c r="AC100" s="163">
        <v>0</v>
      </c>
      <c r="AD100" s="148">
        <f t="shared" si="58"/>
        <v>0</v>
      </c>
    </row>
    <row r="101" spans="1:246" ht="36.75" customHeight="1">
      <c r="A101" s="20">
        <v>31</v>
      </c>
      <c r="B101" s="23" t="s">
        <v>315</v>
      </c>
      <c r="C101" s="24" t="s">
        <v>338</v>
      </c>
      <c r="D101" s="25" t="s">
        <v>401</v>
      </c>
      <c r="E101" s="26">
        <f>F102</f>
        <v>1965.711</v>
      </c>
      <c r="F101" s="27">
        <f>F102+F103</f>
        <v>9868.384</v>
      </c>
      <c r="G101" s="27">
        <f>G102+G103</f>
        <v>0</v>
      </c>
      <c r="H101" s="27">
        <f>H102+H103</f>
        <v>0</v>
      </c>
      <c r="I101" s="28">
        <f>SUM(K101:O101)</f>
        <v>361.32</v>
      </c>
      <c r="J101" s="27">
        <f t="shared" ref="J101:Q101" si="72">J102+J103</f>
        <v>0</v>
      </c>
      <c r="K101" s="27">
        <f t="shared" si="72"/>
        <v>0</v>
      </c>
      <c r="L101" s="27">
        <f t="shared" si="72"/>
        <v>0</v>
      </c>
      <c r="M101" s="27">
        <f t="shared" si="72"/>
        <v>0</v>
      </c>
      <c r="N101" s="85">
        <f t="shared" si="72"/>
        <v>0</v>
      </c>
      <c r="O101" s="85">
        <f t="shared" si="72"/>
        <v>361.32</v>
      </c>
      <c r="P101" s="88">
        <f t="shared" si="72"/>
        <v>2406.1130000000003</v>
      </c>
      <c r="Q101" s="85">
        <f t="shared" si="72"/>
        <v>7100.951</v>
      </c>
      <c r="R101" s="118">
        <f>SUM(S101:AC101)</f>
        <v>0</v>
      </c>
      <c r="S101" s="85">
        <f>S102+S103</f>
        <v>0</v>
      </c>
      <c r="T101" s="85">
        <f t="shared" ref="T101:AC101" si="73">T102+T103</f>
        <v>0</v>
      </c>
      <c r="U101" s="85">
        <f t="shared" si="73"/>
        <v>0</v>
      </c>
      <c r="V101" s="85">
        <f t="shared" si="73"/>
        <v>0</v>
      </c>
      <c r="W101" s="85">
        <f t="shared" si="73"/>
        <v>0</v>
      </c>
      <c r="X101" s="85">
        <f t="shared" si="73"/>
        <v>0</v>
      </c>
      <c r="Y101" s="85">
        <f t="shared" si="73"/>
        <v>0</v>
      </c>
      <c r="Z101" s="85">
        <f t="shared" si="73"/>
        <v>0</v>
      </c>
      <c r="AA101" s="85">
        <f t="shared" si="73"/>
        <v>0</v>
      </c>
      <c r="AB101" s="85">
        <f t="shared" si="73"/>
        <v>0</v>
      </c>
      <c r="AC101" s="150">
        <f t="shared" si="73"/>
        <v>0</v>
      </c>
      <c r="AD101" s="146">
        <f t="shared" si="58"/>
        <v>9507.0640000000003</v>
      </c>
    </row>
    <row r="102" spans="1:246">
      <c r="A102" s="29"/>
      <c r="B102" s="10" t="s">
        <v>31</v>
      </c>
      <c r="C102" s="33"/>
      <c r="D102" s="33"/>
      <c r="E102" s="33"/>
      <c r="F102" s="33">
        <f>H102+I102+AD102</f>
        <v>1965.711</v>
      </c>
      <c r="G102" s="33">
        <v>0</v>
      </c>
      <c r="H102" s="33">
        <v>0</v>
      </c>
      <c r="I102" s="33">
        <f>SUM(K102:O102)</f>
        <v>346.68299999999999</v>
      </c>
      <c r="J102" s="11">
        <v>0</v>
      </c>
      <c r="K102" s="11">
        <v>0</v>
      </c>
      <c r="L102" s="12">
        <v>0</v>
      </c>
      <c r="M102" s="12">
        <v>0</v>
      </c>
      <c r="N102" s="94">
        <v>0</v>
      </c>
      <c r="O102" s="94">
        <f>135+3.813+207.87</f>
        <v>346.68299999999999</v>
      </c>
      <c r="P102" s="94">
        <f>326.882+227</f>
        <v>553.88200000000006</v>
      </c>
      <c r="Q102" s="91">
        <v>1065.146</v>
      </c>
      <c r="R102" s="119">
        <f>SUM(S102:AC102)</f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0</v>
      </c>
      <c r="Z102" s="91">
        <v>0</v>
      </c>
      <c r="AA102" s="91">
        <v>0</v>
      </c>
      <c r="AB102" s="91">
        <v>0</v>
      </c>
      <c r="AC102" s="163">
        <v>0</v>
      </c>
      <c r="AD102" s="148">
        <f t="shared" si="58"/>
        <v>1619.028</v>
      </c>
    </row>
    <row r="103" spans="1:246">
      <c r="A103" s="29"/>
      <c r="B103" s="38" t="s">
        <v>41</v>
      </c>
      <c r="C103" s="33"/>
      <c r="D103" s="33"/>
      <c r="E103" s="33"/>
      <c r="F103" s="33">
        <f>H103+I103+AD103</f>
        <v>7902.6729999999998</v>
      </c>
      <c r="G103" s="33">
        <v>0</v>
      </c>
      <c r="H103" s="33">
        <v>0</v>
      </c>
      <c r="I103" s="33">
        <f>SUM(K103:O103)</f>
        <v>14.637</v>
      </c>
      <c r="J103" s="11">
        <v>0</v>
      </c>
      <c r="K103" s="11">
        <v>0</v>
      </c>
      <c r="L103" s="12">
        <v>0</v>
      </c>
      <c r="M103" s="12">
        <v>0</v>
      </c>
      <c r="N103" s="94">
        <v>0</v>
      </c>
      <c r="O103" s="94">
        <v>14.637</v>
      </c>
      <c r="P103" s="94">
        <v>1852.231</v>
      </c>
      <c r="Q103" s="91">
        <v>6035.8050000000003</v>
      </c>
      <c r="R103" s="119">
        <f>SUM(S103:AC103)</f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  <c r="AC103" s="163">
        <v>0</v>
      </c>
      <c r="AD103" s="148">
        <f t="shared" si="58"/>
        <v>7888.0360000000001</v>
      </c>
    </row>
    <row r="104" spans="1:246" ht="22.5">
      <c r="A104" s="20">
        <v>32</v>
      </c>
      <c r="B104" s="23" t="s">
        <v>100</v>
      </c>
      <c r="C104" s="24" t="s">
        <v>168</v>
      </c>
      <c r="D104" s="47" t="s">
        <v>417</v>
      </c>
      <c r="E104" s="26">
        <f>F105</f>
        <v>19884.175000000003</v>
      </c>
      <c r="F104" s="27">
        <f>F105+F106+F107</f>
        <v>31134.985000000001</v>
      </c>
      <c r="G104" s="27">
        <f>G105+G106</f>
        <v>0</v>
      </c>
      <c r="H104" s="27">
        <f>H105+H106</f>
        <v>0</v>
      </c>
      <c r="I104" s="28">
        <f t="shared" si="66"/>
        <v>365.84199999999998</v>
      </c>
      <c r="J104" s="27">
        <f>J105+J106</f>
        <v>0</v>
      </c>
      <c r="K104" s="27">
        <f>K105+K106</f>
        <v>0</v>
      </c>
      <c r="L104" s="27">
        <f>L105+L106</f>
        <v>0</v>
      </c>
      <c r="M104" s="27">
        <f>M105+M106</f>
        <v>17.22</v>
      </c>
      <c r="N104" s="85">
        <f>N105+N106</f>
        <v>265.988</v>
      </c>
      <c r="O104" s="85">
        <f>O105+O106+O107</f>
        <v>82.634</v>
      </c>
      <c r="P104" s="85">
        <f>P105+P106+P107</f>
        <v>90.468000000000004</v>
      </c>
      <c r="Q104" s="85">
        <f>Q105+Q106+Q107</f>
        <v>1280.5</v>
      </c>
      <c r="R104" s="118">
        <f t="shared" si="69"/>
        <v>29398.175000000003</v>
      </c>
      <c r="S104" s="85">
        <f>S105+S106+S107</f>
        <v>0</v>
      </c>
      <c r="T104" s="85">
        <f t="shared" ref="T104:AD104" si="74">T105+T106+T107</f>
        <v>11250.81</v>
      </c>
      <c r="U104" s="85">
        <f t="shared" si="74"/>
        <v>18147.365000000002</v>
      </c>
      <c r="V104" s="85">
        <f t="shared" si="74"/>
        <v>0</v>
      </c>
      <c r="W104" s="85">
        <f t="shared" si="74"/>
        <v>0</v>
      </c>
      <c r="X104" s="85">
        <f t="shared" si="74"/>
        <v>0</v>
      </c>
      <c r="Y104" s="85">
        <f t="shared" si="74"/>
        <v>0</v>
      </c>
      <c r="Z104" s="85">
        <f t="shared" si="74"/>
        <v>0</v>
      </c>
      <c r="AA104" s="85">
        <f t="shared" si="74"/>
        <v>0</v>
      </c>
      <c r="AB104" s="85">
        <f t="shared" si="74"/>
        <v>0</v>
      </c>
      <c r="AC104" s="150">
        <f t="shared" si="74"/>
        <v>0</v>
      </c>
      <c r="AD104" s="150">
        <f t="shared" si="74"/>
        <v>30769.143000000004</v>
      </c>
    </row>
    <row r="105" spans="1:246">
      <c r="A105" s="29"/>
      <c r="B105" s="10" t="s">
        <v>31</v>
      </c>
      <c r="C105" s="33"/>
      <c r="D105" s="33"/>
      <c r="E105" s="33"/>
      <c r="F105" s="33">
        <f>H105+I105+AD105</f>
        <v>19884.175000000003</v>
      </c>
      <c r="G105" s="33">
        <v>0</v>
      </c>
      <c r="H105" s="33">
        <v>0</v>
      </c>
      <c r="I105" s="33">
        <f t="shared" si="66"/>
        <v>365.84199999999998</v>
      </c>
      <c r="J105" s="11">
        <v>0</v>
      </c>
      <c r="K105" s="11">
        <v>0</v>
      </c>
      <c r="L105" s="42">
        <v>0</v>
      </c>
      <c r="M105" s="42">
        <v>17.22</v>
      </c>
      <c r="N105" s="87">
        <v>265.988</v>
      </c>
      <c r="O105" s="86">
        <v>82.634</v>
      </c>
      <c r="P105" s="91">
        <v>90.468000000000004</v>
      </c>
      <c r="Q105" s="91">
        <v>1280.5</v>
      </c>
      <c r="R105" s="119">
        <f>SUM(S105:AC105)</f>
        <v>18147.365000000002</v>
      </c>
      <c r="S105" s="87">
        <v>0</v>
      </c>
      <c r="T105" s="91">
        <v>0</v>
      </c>
      <c r="U105" s="91">
        <v>18147.365000000002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  <c r="AC105" s="163">
        <v>0</v>
      </c>
      <c r="AD105" s="148">
        <f t="shared" si="58"/>
        <v>19518.333000000002</v>
      </c>
    </row>
    <row r="106" spans="1:246">
      <c r="A106" s="29"/>
      <c r="B106" s="38" t="s">
        <v>41</v>
      </c>
      <c r="C106" s="33"/>
      <c r="D106" s="33"/>
      <c r="E106" s="33"/>
      <c r="F106" s="33">
        <f>H106+I106+AD106</f>
        <v>0</v>
      </c>
      <c r="G106" s="33">
        <v>0</v>
      </c>
      <c r="H106" s="33">
        <v>0</v>
      </c>
      <c r="I106" s="33">
        <f t="shared" si="66"/>
        <v>0</v>
      </c>
      <c r="J106" s="11">
        <v>0</v>
      </c>
      <c r="K106" s="11">
        <v>0</v>
      </c>
      <c r="L106" s="42">
        <v>0</v>
      </c>
      <c r="M106" s="42">
        <v>0</v>
      </c>
      <c r="N106" s="90">
        <f>2458.634-2458.634</f>
        <v>0</v>
      </c>
      <c r="O106" s="91">
        <f>2591.029-2591.029</f>
        <v>0</v>
      </c>
      <c r="P106" s="91">
        <v>0</v>
      </c>
      <c r="Q106" s="91">
        <v>0</v>
      </c>
      <c r="R106" s="119">
        <f>SUM(S106:AC106)</f>
        <v>0</v>
      </c>
      <c r="S106" s="87">
        <f>5049.663-5049.663</f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0</v>
      </c>
      <c r="Z106" s="91">
        <v>0</v>
      </c>
      <c r="AA106" s="91">
        <v>0</v>
      </c>
      <c r="AB106" s="91">
        <v>0</v>
      </c>
      <c r="AC106" s="163">
        <v>0</v>
      </c>
      <c r="AD106" s="148">
        <f t="shared" si="58"/>
        <v>0</v>
      </c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</row>
    <row r="107" spans="1:246">
      <c r="A107" s="29"/>
      <c r="B107" s="10" t="s">
        <v>32</v>
      </c>
      <c r="C107" s="33"/>
      <c r="D107" s="33"/>
      <c r="E107" s="33"/>
      <c r="F107" s="33">
        <f>H107+I107+AD107</f>
        <v>11250.81</v>
      </c>
      <c r="G107" s="33"/>
      <c r="H107" s="33"/>
      <c r="I107" s="33">
        <f t="shared" si="66"/>
        <v>0</v>
      </c>
      <c r="J107" s="11"/>
      <c r="K107" s="11"/>
      <c r="L107" s="42"/>
      <c r="M107" s="42"/>
      <c r="N107" s="90"/>
      <c r="O107" s="91">
        <v>0</v>
      </c>
      <c r="P107" s="91">
        <v>0</v>
      </c>
      <c r="Q107" s="91">
        <v>0</v>
      </c>
      <c r="R107" s="119">
        <f>SUM(S107:AC107)</f>
        <v>11250.81</v>
      </c>
      <c r="S107" s="91">
        <v>0</v>
      </c>
      <c r="T107" s="91">
        <v>11250.81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  <c r="AC107" s="163">
        <v>0</v>
      </c>
      <c r="AD107" s="148">
        <f t="shared" si="58"/>
        <v>11250.81</v>
      </c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</row>
    <row r="108" spans="1:246" ht="22.5">
      <c r="A108" s="20">
        <v>33</v>
      </c>
      <c r="B108" s="23" t="s">
        <v>366</v>
      </c>
      <c r="C108" s="24" t="s">
        <v>51</v>
      </c>
      <c r="D108" s="25" t="s">
        <v>112</v>
      </c>
      <c r="E108" s="26">
        <f>F109</f>
        <v>56246.216999999997</v>
      </c>
      <c r="F108" s="27">
        <f>F109+F110+F111</f>
        <v>87611.888999999996</v>
      </c>
      <c r="G108" s="27">
        <f>G109+G110</f>
        <v>0</v>
      </c>
      <c r="H108" s="27">
        <f>H109+H110</f>
        <v>0</v>
      </c>
      <c r="I108" s="28">
        <f t="shared" ref="I108:I116" si="75">SUM(K108:O108)</f>
        <v>8418.42</v>
      </c>
      <c r="J108" s="27">
        <f>J109+J110</f>
        <v>0</v>
      </c>
      <c r="K108" s="27">
        <f>K109+K110</f>
        <v>0</v>
      </c>
      <c r="L108" s="27">
        <f>L109+L110</f>
        <v>0</v>
      </c>
      <c r="M108" s="27">
        <f>M109+M110</f>
        <v>39.36</v>
      </c>
      <c r="N108" s="85">
        <f>N109+N110</f>
        <v>415.04299999999995</v>
      </c>
      <c r="O108" s="85">
        <f>O109+O110+O111</f>
        <v>7964.0169999999998</v>
      </c>
      <c r="P108" s="85">
        <f>P109+P110+P111</f>
        <v>46964.478999999999</v>
      </c>
      <c r="Q108" s="85">
        <f>Q109+Q110+Q111</f>
        <v>32228.989999999998</v>
      </c>
      <c r="R108" s="118">
        <f t="shared" ref="R108:R116" si="76">SUM(S108:AC108)</f>
        <v>0</v>
      </c>
      <c r="S108" s="85">
        <f>S109+S110+S111</f>
        <v>0</v>
      </c>
      <c r="T108" s="85">
        <f t="shared" ref="T108:AD108" si="77">T109+T110+T111</f>
        <v>0</v>
      </c>
      <c r="U108" s="85">
        <f t="shared" si="77"/>
        <v>0</v>
      </c>
      <c r="V108" s="85">
        <f t="shared" si="77"/>
        <v>0</v>
      </c>
      <c r="W108" s="85">
        <f t="shared" si="77"/>
        <v>0</v>
      </c>
      <c r="X108" s="85">
        <f t="shared" si="77"/>
        <v>0</v>
      </c>
      <c r="Y108" s="85">
        <f t="shared" si="77"/>
        <v>0</v>
      </c>
      <c r="Z108" s="85">
        <f t="shared" si="77"/>
        <v>0</v>
      </c>
      <c r="AA108" s="85">
        <f t="shared" si="77"/>
        <v>0</v>
      </c>
      <c r="AB108" s="85">
        <f t="shared" si="77"/>
        <v>0</v>
      </c>
      <c r="AC108" s="150">
        <f t="shared" si="77"/>
        <v>0</v>
      </c>
      <c r="AD108" s="150">
        <f t="shared" si="77"/>
        <v>79193.468999999997</v>
      </c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</row>
    <row r="109" spans="1:246">
      <c r="A109" s="29"/>
      <c r="B109" s="10" t="s">
        <v>31</v>
      </c>
      <c r="C109" s="33"/>
      <c r="D109" s="33"/>
      <c r="E109" s="33"/>
      <c r="F109" s="33">
        <f>H109+I109+AD109</f>
        <v>56246.216999999997</v>
      </c>
      <c r="G109" s="33">
        <v>0</v>
      </c>
      <c r="H109" s="33">
        <v>0</v>
      </c>
      <c r="I109" s="33">
        <f t="shared" si="75"/>
        <v>3353.174</v>
      </c>
      <c r="J109" s="11">
        <v>0</v>
      </c>
      <c r="K109" s="11">
        <v>0</v>
      </c>
      <c r="L109" s="42">
        <v>0</v>
      </c>
      <c r="M109" s="12">
        <v>39.36</v>
      </c>
      <c r="N109" s="94">
        <v>415.04299999999995</v>
      </c>
      <c r="O109" s="94">
        <f>2328.771+570</f>
        <v>2898.7710000000002</v>
      </c>
      <c r="P109" s="94">
        <f>16540.885+4705.306</f>
        <v>21246.190999999999</v>
      </c>
      <c r="Q109" s="94">
        <f>19387.096+12259.756</f>
        <v>31646.851999999999</v>
      </c>
      <c r="R109" s="119">
        <f t="shared" si="76"/>
        <v>0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  <c r="AC109" s="163">
        <v>0</v>
      </c>
      <c r="AD109" s="148">
        <f t="shared" si="58"/>
        <v>52893.042999999998</v>
      </c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</row>
    <row r="110" spans="1:246">
      <c r="A110" s="29"/>
      <c r="B110" s="38" t="s">
        <v>41</v>
      </c>
      <c r="C110" s="33"/>
      <c r="D110" s="33"/>
      <c r="E110" s="33"/>
      <c r="F110" s="33">
        <f>H110+I110+AD110</f>
        <v>18791.782999999999</v>
      </c>
      <c r="G110" s="33">
        <v>0</v>
      </c>
      <c r="H110" s="33">
        <v>0</v>
      </c>
      <c r="I110" s="33">
        <f t="shared" si="75"/>
        <v>2247.3159999999998</v>
      </c>
      <c r="J110" s="11">
        <v>0</v>
      </c>
      <c r="K110" s="11">
        <v>0</v>
      </c>
      <c r="L110" s="42">
        <v>0</v>
      </c>
      <c r="M110" s="42">
        <v>0</v>
      </c>
      <c r="N110" s="90">
        <v>0</v>
      </c>
      <c r="O110" s="90">
        <v>2247.3159999999998</v>
      </c>
      <c r="P110" s="91">
        <v>15962.329</v>
      </c>
      <c r="Q110" s="91">
        <v>582.13800000000003</v>
      </c>
      <c r="R110" s="119">
        <f t="shared" si="76"/>
        <v>0</v>
      </c>
      <c r="S110" s="91">
        <v>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  <c r="AC110" s="163">
        <v>0</v>
      </c>
      <c r="AD110" s="148">
        <f t="shared" si="58"/>
        <v>16544.467000000001</v>
      </c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</row>
    <row r="111" spans="1:246">
      <c r="A111" s="29"/>
      <c r="B111" s="10" t="s">
        <v>32</v>
      </c>
      <c r="C111" s="33"/>
      <c r="D111" s="33"/>
      <c r="E111" s="33"/>
      <c r="F111" s="33">
        <f>H111+I111+AD111</f>
        <v>12573.889000000001</v>
      </c>
      <c r="G111" s="33"/>
      <c r="H111" s="33"/>
      <c r="I111" s="33">
        <f t="shared" si="75"/>
        <v>2817.93</v>
      </c>
      <c r="J111" s="11"/>
      <c r="K111" s="11"/>
      <c r="L111" s="42"/>
      <c r="M111" s="42"/>
      <c r="N111" s="90"/>
      <c r="O111" s="90">
        <v>2817.93</v>
      </c>
      <c r="P111" s="91">
        <v>9755.9590000000007</v>
      </c>
      <c r="Q111" s="91">
        <v>0</v>
      </c>
      <c r="R111" s="119">
        <f t="shared" si="76"/>
        <v>0</v>
      </c>
      <c r="S111" s="91">
        <v>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  <c r="AC111" s="163">
        <v>0</v>
      </c>
      <c r="AD111" s="148">
        <f t="shared" si="58"/>
        <v>9755.9590000000007</v>
      </c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</row>
    <row r="112" spans="1:246" ht="22.5">
      <c r="A112" s="20">
        <v>34</v>
      </c>
      <c r="B112" s="23" t="s">
        <v>103</v>
      </c>
      <c r="C112" s="24" t="s">
        <v>104</v>
      </c>
      <c r="D112" s="25" t="s">
        <v>443</v>
      </c>
      <c r="E112" s="26">
        <f>F113</f>
        <v>33093</v>
      </c>
      <c r="F112" s="27">
        <f>F113</f>
        <v>33093</v>
      </c>
      <c r="G112" s="28">
        <f>G113</f>
        <v>0</v>
      </c>
      <c r="H112" s="28">
        <f>H113</f>
        <v>0</v>
      </c>
      <c r="I112" s="28">
        <f t="shared" si="75"/>
        <v>2682</v>
      </c>
      <c r="J112" s="27">
        <f>J113</f>
        <v>0</v>
      </c>
      <c r="K112" s="27">
        <f t="shared" ref="K112:Q112" si="78">K113</f>
        <v>0</v>
      </c>
      <c r="L112" s="27">
        <f t="shared" si="78"/>
        <v>0</v>
      </c>
      <c r="M112" s="27">
        <f t="shared" si="78"/>
        <v>0</v>
      </c>
      <c r="N112" s="85">
        <f t="shared" si="78"/>
        <v>93</v>
      </c>
      <c r="O112" s="85">
        <f t="shared" si="78"/>
        <v>2589</v>
      </c>
      <c r="P112" s="85">
        <f t="shared" si="78"/>
        <v>2000</v>
      </c>
      <c r="Q112" s="85">
        <f t="shared" si="78"/>
        <v>6000</v>
      </c>
      <c r="R112" s="118">
        <f t="shared" si="76"/>
        <v>22411</v>
      </c>
      <c r="S112" s="85">
        <f>S113</f>
        <v>13800</v>
      </c>
      <c r="T112" s="85">
        <f t="shared" ref="T112:AC112" si="79">T113</f>
        <v>8611</v>
      </c>
      <c r="U112" s="85">
        <f t="shared" si="79"/>
        <v>0</v>
      </c>
      <c r="V112" s="85">
        <f t="shared" si="79"/>
        <v>0</v>
      </c>
      <c r="W112" s="85">
        <f t="shared" si="79"/>
        <v>0</v>
      </c>
      <c r="X112" s="85">
        <f t="shared" si="79"/>
        <v>0</v>
      </c>
      <c r="Y112" s="85">
        <f t="shared" si="79"/>
        <v>0</v>
      </c>
      <c r="Z112" s="85">
        <f t="shared" si="79"/>
        <v>0</v>
      </c>
      <c r="AA112" s="85">
        <f t="shared" si="79"/>
        <v>0</v>
      </c>
      <c r="AB112" s="85">
        <f t="shared" si="79"/>
        <v>0</v>
      </c>
      <c r="AC112" s="150">
        <f t="shared" si="79"/>
        <v>0</v>
      </c>
      <c r="AD112" s="146">
        <f t="shared" si="58"/>
        <v>30411</v>
      </c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</row>
    <row r="113" spans="1:246">
      <c r="A113" s="29"/>
      <c r="B113" s="10" t="s">
        <v>31</v>
      </c>
      <c r="C113" s="30"/>
      <c r="D113" s="31"/>
      <c r="E113" s="32"/>
      <c r="F113" s="33">
        <f>H113+I113+AD113</f>
        <v>33093</v>
      </c>
      <c r="G113" s="34">
        <v>0</v>
      </c>
      <c r="H113" s="33">
        <v>0</v>
      </c>
      <c r="I113" s="33">
        <f t="shared" si="75"/>
        <v>2682</v>
      </c>
      <c r="J113" s="33">
        <v>0</v>
      </c>
      <c r="K113" s="33">
        <v>0</v>
      </c>
      <c r="L113" s="39">
        <v>0</v>
      </c>
      <c r="M113" s="39">
        <v>0</v>
      </c>
      <c r="N113" s="86">
        <v>93</v>
      </c>
      <c r="O113" s="86">
        <v>2589</v>
      </c>
      <c r="P113" s="86">
        <v>2000</v>
      </c>
      <c r="Q113" s="87">
        <v>6000</v>
      </c>
      <c r="R113" s="119">
        <f t="shared" si="76"/>
        <v>22411</v>
      </c>
      <c r="S113" s="87">
        <v>13800</v>
      </c>
      <c r="T113" s="86">
        <v>8611</v>
      </c>
      <c r="U113" s="87">
        <v>0</v>
      </c>
      <c r="V113" s="87">
        <v>0</v>
      </c>
      <c r="W113" s="87">
        <v>0</v>
      </c>
      <c r="X113" s="87">
        <v>0</v>
      </c>
      <c r="Y113" s="87">
        <v>0</v>
      </c>
      <c r="Z113" s="87">
        <v>0</v>
      </c>
      <c r="AA113" s="87">
        <v>0</v>
      </c>
      <c r="AB113" s="87">
        <v>0</v>
      </c>
      <c r="AC113" s="161">
        <v>0</v>
      </c>
      <c r="AD113" s="148">
        <f t="shared" si="58"/>
        <v>30411</v>
      </c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</row>
    <row r="114" spans="1:246" ht="22.5">
      <c r="A114" s="20">
        <v>35</v>
      </c>
      <c r="B114" s="37" t="s">
        <v>106</v>
      </c>
      <c r="C114" s="24" t="s">
        <v>43</v>
      </c>
      <c r="D114" s="43" t="s">
        <v>416</v>
      </c>
      <c r="E114" s="26">
        <f>F115</f>
        <v>19061</v>
      </c>
      <c r="F114" s="27">
        <f>F115+F116</f>
        <v>22161</v>
      </c>
      <c r="G114" s="27">
        <f>G115+G116</f>
        <v>0</v>
      </c>
      <c r="H114" s="27">
        <f>H115+H116</f>
        <v>0</v>
      </c>
      <c r="I114" s="28">
        <f t="shared" si="75"/>
        <v>61</v>
      </c>
      <c r="J114" s="27">
        <f t="shared" ref="J114:Q114" si="80">J115+J116</f>
        <v>0</v>
      </c>
      <c r="K114" s="27">
        <f t="shared" si="80"/>
        <v>0</v>
      </c>
      <c r="L114" s="27">
        <f t="shared" si="80"/>
        <v>0</v>
      </c>
      <c r="M114" s="27">
        <f t="shared" si="80"/>
        <v>61</v>
      </c>
      <c r="N114" s="85">
        <f t="shared" si="80"/>
        <v>0</v>
      </c>
      <c r="O114" s="85">
        <f t="shared" si="80"/>
        <v>0</v>
      </c>
      <c r="P114" s="85">
        <f t="shared" si="80"/>
        <v>0</v>
      </c>
      <c r="Q114" s="85">
        <f t="shared" si="80"/>
        <v>0</v>
      </c>
      <c r="R114" s="118">
        <f t="shared" si="76"/>
        <v>22100</v>
      </c>
      <c r="S114" s="85">
        <f>S115+S116</f>
        <v>3100</v>
      </c>
      <c r="T114" s="85">
        <f t="shared" ref="T114:AC114" si="81">T115+T116</f>
        <v>0</v>
      </c>
      <c r="U114" s="85">
        <f t="shared" si="81"/>
        <v>19000</v>
      </c>
      <c r="V114" s="85">
        <f t="shared" si="81"/>
        <v>0</v>
      </c>
      <c r="W114" s="85">
        <f t="shared" si="81"/>
        <v>0</v>
      </c>
      <c r="X114" s="85">
        <f t="shared" si="81"/>
        <v>0</v>
      </c>
      <c r="Y114" s="85">
        <f t="shared" si="81"/>
        <v>0</v>
      </c>
      <c r="Z114" s="85">
        <f t="shared" si="81"/>
        <v>0</v>
      </c>
      <c r="AA114" s="85">
        <f t="shared" si="81"/>
        <v>0</v>
      </c>
      <c r="AB114" s="85">
        <f t="shared" si="81"/>
        <v>0</v>
      </c>
      <c r="AC114" s="150">
        <f t="shared" si="81"/>
        <v>0</v>
      </c>
      <c r="AD114" s="146">
        <f t="shared" si="58"/>
        <v>22100</v>
      </c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</row>
    <row r="115" spans="1:246">
      <c r="A115" s="29"/>
      <c r="B115" s="10" t="s">
        <v>31</v>
      </c>
      <c r="C115" s="30"/>
      <c r="D115" s="31"/>
      <c r="E115" s="32"/>
      <c r="F115" s="33">
        <f>H115+I115+AD115</f>
        <v>19061</v>
      </c>
      <c r="G115" s="34">
        <v>0</v>
      </c>
      <c r="H115" s="33">
        <v>0</v>
      </c>
      <c r="I115" s="33">
        <f t="shared" si="75"/>
        <v>61</v>
      </c>
      <c r="J115" s="33">
        <v>0</v>
      </c>
      <c r="K115" s="33">
        <v>0</v>
      </c>
      <c r="L115" s="33">
        <v>0</v>
      </c>
      <c r="M115" s="33">
        <v>61</v>
      </c>
      <c r="N115" s="87">
        <v>0</v>
      </c>
      <c r="O115" s="87">
        <v>0</v>
      </c>
      <c r="P115" s="87">
        <v>0</v>
      </c>
      <c r="Q115" s="87">
        <v>0</v>
      </c>
      <c r="R115" s="119">
        <f t="shared" si="76"/>
        <v>19000</v>
      </c>
      <c r="S115" s="87">
        <v>0</v>
      </c>
      <c r="T115" s="87">
        <v>0</v>
      </c>
      <c r="U115" s="87">
        <v>19000</v>
      </c>
      <c r="V115" s="87">
        <v>0</v>
      </c>
      <c r="W115" s="87">
        <v>0</v>
      </c>
      <c r="X115" s="87">
        <v>0</v>
      </c>
      <c r="Y115" s="87">
        <v>0</v>
      </c>
      <c r="Z115" s="87">
        <v>0</v>
      </c>
      <c r="AA115" s="87">
        <v>0</v>
      </c>
      <c r="AB115" s="87">
        <v>0</v>
      </c>
      <c r="AC115" s="161">
        <v>0</v>
      </c>
      <c r="AD115" s="148">
        <f t="shared" si="58"/>
        <v>19000</v>
      </c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</row>
    <row r="116" spans="1:246">
      <c r="A116" s="29"/>
      <c r="B116" s="10" t="s">
        <v>32</v>
      </c>
      <c r="C116" s="30"/>
      <c r="D116" s="31"/>
      <c r="E116" s="32"/>
      <c r="F116" s="33">
        <f>H116+I116+AD116</f>
        <v>3100</v>
      </c>
      <c r="G116" s="34">
        <v>0</v>
      </c>
      <c r="H116" s="33">
        <v>0</v>
      </c>
      <c r="I116" s="33">
        <f t="shared" si="75"/>
        <v>0</v>
      </c>
      <c r="J116" s="33">
        <v>0</v>
      </c>
      <c r="K116" s="33">
        <v>0</v>
      </c>
      <c r="L116" s="33">
        <v>0</v>
      </c>
      <c r="M116" s="33">
        <v>0</v>
      </c>
      <c r="N116" s="87">
        <v>0</v>
      </c>
      <c r="O116" s="87">
        <v>0</v>
      </c>
      <c r="P116" s="87">
        <v>0</v>
      </c>
      <c r="Q116" s="87">
        <v>0</v>
      </c>
      <c r="R116" s="119">
        <f t="shared" si="76"/>
        <v>3100</v>
      </c>
      <c r="S116" s="87">
        <v>3100</v>
      </c>
      <c r="T116" s="87">
        <v>0</v>
      </c>
      <c r="U116" s="87">
        <v>0</v>
      </c>
      <c r="V116" s="87">
        <v>0</v>
      </c>
      <c r="W116" s="87">
        <v>0</v>
      </c>
      <c r="X116" s="87">
        <v>0</v>
      </c>
      <c r="Y116" s="87">
        <v>0</v>
      </c>
      <c r="Z116" s="87">
        <v>0</v>
      </c>
      <c r="AA116" s="87">
        <v>0</v>
      </c>
      <c r="AB116" s="87">
        <v>0</v>
      </c>
      <c r="AC116" s="161">
        <v>0</v>
      </c>
      <c r="AD116" s="148">
        <f t="shared" si="58"/>
        <v>3100</v>
      </c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</row>
    <row r="117" spans="1:246" ht="22.5">
      <c r="A117" s="20">
        <v>36</v>
      </c>
      <c r="B117" s="23" t="s">
        <v>107</v>
      </c>
      <c r="C117" s="24" t="s">
        <v>422</v>
      </c>
      <c r="D117" s="25" t="s">
        <v>375</v>
      </c>
      <c r="E117" s="26">
        <f>F118</f>
        <v>161382.587</v>
      </c>
      <c r="F117" s="27">
        <f>F118+F119+F120</f>
        <v>283714.37199999997</v>
      </c>
      <c r="G117" s="28">
        <v>0</v>
      </c>
      <c r="H117" s="28">
        <v>0</v>
      </c>
      <c r="I117" s="28">
        <f t="shared" ref="I117:I134" si="82">SUM(K117:O117)</f>
        <v>66790.870999999999</v>
      </c>
      <c r="J117" s="27">
        <v>0</v>
      </c>
      <c r="K117" s="27">
        <v>0</v>
      </c>
      <c r="L117" s="27">
        <v>195.91500000000002</v>
      </c>
      <c r="M117" s="28">
        <f>M118+M119+M120</f>
        <v>540</v>
      </c>
      <c r="N117" s="88">
        <f>N118+N119+N120</f>
        <v>20189.228999999999</v>
      </c>
      <c r="O117" s="88">
        <f>O118+O119+O120</f>
        <v>45865.726999999999</v>
      </c>
      <c r="P117" s="88">
        <f>P118+P119+P120</f>
        <v>62008.294999999998</v>
      </c>
      <c r="Q117" s="88">
        <f>Q118+Q119+Q120</f>
        <v>1542.181</v>
      </c>
      <c r="R117" s="118">
        <f t="shared" ref="R117:R134" si="83">SUM(S117:AC117)</f>
        <v>153373.02499999999</v>
      </c>
      <c r="S117" s="85">
        <f>S118+S119+S120</f>
        <v>61194.917999999998</v>
      </c>
      <c r="T117" s="85">
        <f t="shared" ref="T117:AC117" si="84">T118+T119+T120</f>
        <v>92178.106999999989</v>
      </c>
      <c r="U117" s="85">
        <f t="shared" si="84"/>
        <v>0</v>
      </c>
      <c r="V117" s="85">
        <f t="shared" si="84"/>
        <v>0</v>
      </c>
      <c r="W117" s="85">
        <f t="shared" si="84"/>
        <v>0</v>
      </c>
      <c r="X117" s="85">
        <f t="shared" si="84"/>
        <v>0</v>
      </c>
      <c r="Y117" s="85">
        <f t="shared" si="84"/>
        <v>0</v>
      </c>
      <c r="Z117" s="85">
        <f t="shared" si="84"/>
        <v>0</v>
      </c>
      <c r="AA117" s="85">
        <f t="shared" si="84"/>
        <v>0</v>
      </c>
      <c r="AB117" s="85">
        <f t="shared" si="84"/>
        <v>0</v>
      </c>
      <c r="AC117" s="150">
        <f t="shared" si="84"/>
        <v>0</v>
      </c>
      <c r="AD117" s="146">
        <f t="shared" si="58"/>
        <v>216923.50099999999</v>
      </c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</row>
    <row r="118" spans="1:246">
      <c r="A118" s="29"/>
      <c r="B118" s="10" t="s">
        <v>31</v>
      </c>
      <c r="C118" s="30"/>
      <c r="D118" s="31"/>
      <c r="E118" s="32"/>
      <c r="F118" s="33">
        <f>H118+I118+AD118</f>
        <v>161382.587</v>
      </c>
      <c r="G118" s="34">
        <v>0</v>
      </c>
      <c r="H118" s="33">
        <v>0</v>
      </c>
      <c r="I118" s="33">
        <f t="shared" si="82"/>
        <v>27305.835999999999</v>
      </c>
      <c r="J118" s="33">
        <v>0</v>
      </c>
      <c r="K118" s="33">
        <v>0</v>
      </c>
      <c r="L118" s="33">
        <v>89.715000000000003</v>
      </c>
      <c r="M118" s="33">
        <v>224</v>
      </c>
      <c r="N118" s="87">
        <v>4459.6229999999996</v>
      </c>
      <c r="O118" s="87">
        <v>22532.498</v>
      </c>
      <c r="P118" s="87">
        <v>22764.035</v>
      </c>
      <c r="Q118" s="87">
        <v>601.827</v>
      </c>
      <c r="R118" s="119">
        <f t="shared" si="83"/>
        <v>110710.889</v>
      </c>
      <c r="S118" s="87">
        <v>24487.704000000002</v>
      </c>
      <c r="T118" s="87">
        <v>86223.184999999998</v>
      </c>
      <c r="U118" s="87">
        <v>0</v>
      </c>
      <c r="V118" s="87">
        <v>0</v>
      </c>
      <c r="W118" s="87">
        <v>0</v>
      </c>
      <c r="X118" s="87">
        <v>0</v>
      </c>
      <c r="Y118" s="87">
        <v>0</v>
      </c>
      <c r="Z118" s="87">
        <v>0</v>
      </c>
      <c r="AA118" s="87">
        <v>0</v>
      </c>
      <c r="AB118" s="87">
        <v>0</v>
      </c>
      <c r="AC118" s="161">
        <v>0</v>
      </c>
      <c r="AD118" s="148">
        <f t="shared" si="58"/>
        <v>134076.75099999999</v>
      </c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</row>
    <row r="119" spans="1:246">
      <c r="A119" s="29"/>
      <c r="B119" s="38" t="s">
        <v>41</v>
      </c>
      <c r="C119" s="30"/>
      <c r="D119" s="31"/>
      <c r="E119" s="32"/>
      <c r="F119" s="33">
        <f>H119+I119+AD119</f>
        <v>96740.804999999993</v>
      </c>
      <c r="G119" s="34">
        <v>0</v>
      </c>
      <c r="H119" s="33">
        <v>0</v>
      </c>
      <c r="I119" s="33">
        <f t="shared" si="82"/>
        <v>30521.669000000002</v>
      </c>
      <c r="J119" s="33">
        <v>0</v>
      </c>
      <c r="K119" s="33">
        <v>0</v>
      </c>
      <c r="L119" s="33">
        <v>106.2</v>
      </c>
      <c r="M119" s="33">
        <v>316</v>
      </c>
      <c r="N119" s="87">
        <v>6928.1260000000002</v>
      </c>
      <c r="O119" s="87">
        <v>23171.343000000001</v>
      </c>
      <c r="P119" s="87">
        <v>32184.199000000001</v>
      </c>
      <c r="Q119" s="87">
        <v>940.35400000000004</v>
      </c>
      <c r="R119" s="119">
        <f t="shared" si="83"/>
        <v>33094.582999999999</v>
      </c>
      <c r="S119" s="87">
        <v>29940.136999999999</v>
      </c>
      <c r="T119" s="87">
        <v>3154.4459999999999</v>
      </c>
      <c r="U119" s="87">
        <v>0</v>
      </c>
      <c r="V119" s="87">
        <v>0</v>
      </c>
      <c r="W119" s="87">
        <v>0</v>
      </c>
      <c r="X119" s="87">
        <v>0</v>
      </c>
      <c r="Y119" s="87">
        <v>0</v>
      </c>
      <c r="Z119" s="87">
        <v>0</v>
      </c>
      <c r="AA119" s="87">
        <v>0</v>
      </c>
      <c r="AB119" s="87">
        <v>0</v>
      </c>
      <c r="AC119" s="161">
        <v>0</v>
      </c>
      <c r="AD119" s="148">
        <f t="shared" si="58"/>
        <v>66219.135999999999</v>
      </c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</row>
    <row r="120" spans="1:246">
      <c r="A120" s="29"/>
      <c r="B120" s="10" t="s">
        <v>32</v>
      </c>
      <c r="C120" s="30"/>
      <c r="D120" s="31"/>
      <c r="E120" s="32"/>
      <c r="F120" s="33">
        <f>H120+I120+AD120</f>
        <v>25590.980000000003</v>
      </c>
      <c r="G120" s="34"/>
      <c r="H120" s="33"/>
      <c r="I120" s="33">
        <f t="shared" si="82"/>
        <v>8963.366</v>
      </c>
      <c r="J120" s="33"/>
      <c r="K120" s="33">
        <v>0</v>
      </c>
      <c r="L120" s="33">
        <v>0</v>
      </c>
      <c r="M120" s="33">
        <f>801.48-801.48</f>
        <v>0</v>
      </c>
      <c r="N120" s="87">
        <v>8801.48</v>
      </c>
      <c r="O120" s="87">
        <v>161.886</v>
      </c>
      <c r="P120" s="87">
        <v>7060.0609999999997</v>
      </c>
      <c r="Q120" s="87">
        <v>0</v>
      </c>
      <c r="R120" s="119">
        <f t="shared" si="83"/>
        <v>9567.5529999999999</v>
      </c>
      <c r="S120" s="87">
        <v>6767.0770000000002</v>
      </c>
      <c r="T120" s="87">
        <v>2800.4760000000001</v>
      </c>
      <c r="U120" s="87">
        <v>0</v>
      </c>
      <c r="V120" s="87">
        <v>0</v>
      </c>
      <c r="W120" s="87">
        <v>0</v>
      </c>
      <c r="X120" s="87">
        <v>0</v>
      </c>
      <c r="Y120" s="87">
        <v>0</v>
      </c>
      <c r="Z120" s="87">
        <v>0</v>
      </c>
      <c r="AA120" s="87">
        <v>0</v>
      </c>
      <c r="AB120" s="87">
        <v>0</v>
      </c>
      <c r="AC120" s="161">
        <v>0</v>
      </c>
      <c r="AD120" s="148">
        <f t="shared" si="58"/>
        <v>16627.614000000001</v>
      </c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</row>
    <row r="121" spans="1:246" ht="22.5">
      <c r="A121" s="20">
        <v>37</v>
      </c>
      <c r="B121" s="23" t="s">
        <v>108</v>
      </c>
      <c r="C121" s="24" t="s">
        <v>346</v>
      </c>
      <c r="D121" s="25" t="s">
        <v>419</v>
      </c>
      <c r="E121" s="26">
        <f>F122</f>
        <v>159542.48200000002</v>
      </c>
      <c r="F121" s="27">
        <f>F122+F123+F124</f>
        <v>247912.07700000002</v>
      </c>
      <c r="G121" s="28">
        <v>0</v>
      </c>
      <c r="H121" s="28">
        <v>0</v>
      </c>
      <c r="I121" s="28">
        <f t="shared" si="82"/>
        <v>255.15199999999999</v>
      </c>
      <c r="J121" s="27">
        <v>0</v>
      </c>
      <c r="K121" s="27">
        <v>0</v>
      </c>
      <c r="L121" s="27">
        <v>0</v>
      </c>
      <c r="M121" s="27">
        <f>M122+M123+M124</f>
        <v>0</v>
      </c>
      <c r="N121" s="85">
        <f>N122+N123+N124</f>
        <v>225.15199999999999</v>
      </c>
      <c r="O121" s="85">
        <f>O122+O123+O124</f>
        <v>30</v>
      </c>
      <c r="P121" s="88">
        <f>P122+P123+P124</f>
        <v>24634.85</v>
      </c>
      <c r="Q121" s="85">
        <f>Q122+Q123+Q124</f>
        <v>53500</v>
      </c>
      <c r="R121" s="118">
        <f t="shared" si="83"/>
        <v>169522.07500000001</v>
      </c>
      <c r="S121" s="85">
        <f>S122+S123+S124</f>
        <v>15500</v>
      </c>
      <c r="T121" s="85">
        <f t="shared" ref="T121:AC121" si="85">T122+T123+T124</f>
        <v>51800.009999999995</v>
      </c>
      <c r="U121" s="85">
        <f t="shared" si="85"/>
        <v>63088.864999999998</v>
      </c>
      <c r="V121" s="85">
        <f t="shared" si="85"/>
        <v>39133.199999999997</v>
      </c>
      <c r="W121" s="85">
        <f t="shared" si="85"/>
        <v>0</v>
      </c>
      <c r="X121" s="85">
        <f t="shared" si="85"/>
        <v>0</v>
      </c>
      <c r="Y121" s="85">
        <f t="shared" si="85"/>
        <v>0</v>
      </c>
      <c r="Z121" s="85">
        <f t="shared" si="85"/>
        <v>0</v>
      </c>
      <c r="AA121" s="85">
        <f t="shared" si="85"/>
        <v>0</v>
      </c>
      <c r="AB121" s="85">
        <f t="shared" si="85"/>
        <v>0</v>
      </c>
      <c r="AC121" s="150">
        <f t="shared" si="85"/>
        <v>0</v>
      </c>
      <c r="AD121" s="146">
        <f t="shared" si="58"/>
        <v>247656.92500000002</v>
      </c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</row>
    <row r="122" spans="1:246">
      <c r="A122" s="29"/>
      <c r="B122" s="10" t="s">
        <v>31</v>
      </c>
      <c r="C122" s="30"/>
      <c r="D122" s="31"/>
      <c r="E122" s="32"/>
      <c r="F122" s="33">
        <f>H122+I122+AD122</f>
        <v>159542.48200000002</v>
      </c>
      <c r="G122" s="34">
        <v>0</v>
      </c>
      <c r="H122" s="33">
        <v>0</v>
      </c>
      <c r="I122" s="33">
        <f t="shared" si="82"/>
        <v>255.15199999999999</v>
      </c>
      <c r="J122" s="33">
        <v>0</v>
      </c>
      <c r="K122" s="33">
        <v>0</v>
      </c>
      <c r="L122" s="33">
        <v>0</v>
      </c>
      <c r="M122" s="33">
        <v>0</v>
      </c>
      <c r="N122" s="87">
        <v>225.15199999999999</v>
      </c>
      <c r="O122" s="87">
        <v>30</v>
      </c>
      <c r="P122" s="87">
        <v>24634.85</v>
      </c>
      <c r="Q122" s="87">
        <v>53500</v>
      </c>
      <c r="R122" s="119">
        <f t="shared" si="83"/>
        <v>81152.479999999996</v>
      </c>
      <c r="S122" s="87">
        <v>7146.3410000000003</v>
      </c>
      <c r="T122" s="87">
        <v>25804.07</v>
      </c>
      <c r="U122" s="87">
        <v>29749.014999999999</v>
      </c>
      <c r="V122" s="87">
        <v>18453.054</v>
      </c>
      <c r="W122" s="87">
        <v>0</v>
      </c>
      <c r="X122" s="87">
        <v>0</v>
      </c>
      <c r="Y122" s="87">
        <v>0</v>
      </c>
      <c r="Z122" s="87">
        <v>0</v>
      </c>
      <c r="AA122" s="87">
        <v>0</v>
      </c>
      <c r="AB122" s="87">
        <v>0</v>
      </c>
      <c r="AC122" s="161">
        <v>0</v>
      </c>
      <c r="AD122" s="148">
        <f t="shared" si="58"/>
        <v>159287.33000000002</v>
      </c>
    </row>
    <row r="123" spans="1:246">
      <c r="A123" s="29"/>
      <c r="B123" s="38" t="s">
        <v>41</v>
      </c>
      <c r="C123" s="30"/>
      <c r="D123" s="31"/>
      <c r="E123" s="32"/>
      <c r="F123" s="33">
        <f>H123+I123+AD123</f>
        <v>88369.595000000001</v>
      </c>
      <c r="G123" s="34">
        <v>0</v>
      </c>
      <c r="H123" s="33">
        <v>0</v>
      </c>
      <c r="I123" s="33">
        <f t="shared" si="82"/>
        <v>0</v>
      </c>
      <c r="J123" s="33">
        <v>0</v>
      </c>
      <c r="K123" s="33">
        <v>0</v>
      </c>
      <c r="L123" s="33">
        <v>0</v>
      </c>
      <c r="M123" s="33">
        <v>0</v>
      </c>
      <c r="N123" s="87">
        <v>0</v>
      </c>
      <c r="O123" s="87">
        <v>0</v>
      </c>
      <c r="P123" s="87">
        <v>0</v>
      </c>
      <c r="Q123" s="87">
        <v>0</v>
      </c>
      <c r="R123" s="119">
        <f t="shared" si="83"/>
        <v>88369.595000000001</v>
      </c>
      <c r="S123" s="87">
        <v>8353.6589999999997</v>
      </c>
      <c r="T123" s="87">
        <v>25995.94</v>
      </c>
      <c r="U123" s="87">
        <v>33339.85</v>
      </c>
      <c r="V123" s="87">
        <v>20680.146000000001</v>
      </c>
      <c r="W123" s="87">
        <v>0</v>
      </c>
      <c r="X123" s="87">
        <v>0</v>
      </c>
      <c r="Y123" s="87">
        <v>0</v>
      </c>
      <c r="Z123" s="87">
        <v>0</v>
      </c>
      <c r="AA123" s="87">
        <v>0</v>
      </c>
      <c r="AB123" s="87">
        <v>0</v>
      </c>
      <c r="AC123" s="161">
        <v>0</v>
      </c>
      <c r="AD123" s="148">
        <f t="shared" si="58"/>
        <v>88369.595000000001</v>
      </c>
    </row>
    <row r="124" spans="1:246">
      <c r="A124" s="29"/>
      <c r="B124" s="10" t="s">
        <v>32</v>
      </c>
      <c r="C124" s="30"/>
      <c r="D124" s="31"/>
      <c r="E124" s="32"/>
      <c r="F124" s="33">
        <f>H124+I124+AD124</f>
        <v>0</v>
      </c>
      <c r="G124" s="34"/>
      <c r="H124" s="33"/>
      <c r="I124" s="33">
        <f t="shared" si="82"/>
        <v>0</v>
      </c>
      <c r="J124" s="33"/>
      <c r="K124" s="33">
        <v>0</v>
      </c>
      <c r="L124" s="33">
        <v>0</v>
      </c>
      <c r="M124" s="33">
        <v>0</v>
      </c>
      <c r="N124" s="87">
        <v>0</v>
      </c>
      <c r="O124" s="87">
        <v>0</v>
      </c>
      <c r="P124" s="87">
        <v>0</v>
      </c>
      <c r="Q124" s="87">
        <v>0</v>
      </c>
      <c r="R124" s="119">
        <f t="shared" si="83"/>
        <v>0</v>
      </c>
      <c r="S124" s="87">
        <v>0</v>
      </c>
      <c r="T124" s="87">
        <v>0</v>
      </c>
      <c r="U124" s="87">
        <v>0</v>
      </c>
      <c r="V124" s="87">
        <v>0</v>
      </c>
      <c r="W124" s="87">
        <v>0</v>
      </c>
      <c r="X124" s="87">
        <v>0</v>
      </c>
      <c r="Y124" s="87">
        <v>0</v>
      </c>
      <c r="Z124" s="87">
        <v>0</v>
      </c>
      <c r="AA124" s="87">
        <v>0</v>
      </c>
      <c r="AB124" s="87">
        <v>0</v>
      </c>
      <c r="AC124" s="161">
        <v>0</v>
      </c>
      <c r="AD124" s="148">
        <f t="shared" si="58"/>
        <v>0</v>
      </c>
    </row>
    <row r="125" spans="1:246" ht="22.5">
      <c r="A125" s="20">
        <v>38</v>
      </c>
      <c r="B125" s="23" t="s">
        <v>109</v>
      </c>
      <c r="C125" s="24" t="s">
        <v>110</v>
      </c>
      <c r="D125" s="25" t="s">
        <v>420</v>
      </c>
      <c r="E125" s="26">
        <f>F126</f>
        <v>24311.824999999997</v>
      </c>
      <c r="F125" s="27">
        <f>F126+F127+F128</f>
        <v>31370.472999999998</v>
      </c>
      <c r="G125" s="28">
        <v>789</v>
      </c>
      <c r="H125" s="28">
        <v>789</v>
      </c>
      <c r="I125" s="28">
        <f t="shared" si="82"/>
        <v>4095.8319999999999</v>
      </c>
      <c r="J125" s="27">
        <v>0</v>
      </c>
      <c r="K125" s="28">
        <v>0</v>
      </c>
      <c r="L125" s="27">
        <v>0</v>
      </c>
      <c r="M125" s="27">
        <v>0</v>
      </c>
      <c r="N125" s="85">
        <f>N126+N127+N128</f>
        <v>565.29700000000003</v>
      </c>
      <c r="O125" s="85">
        <f>O126+O127+O128</f>
        <v>3530.5349999999999</v>
      </c>
      <c r="P125" s="85">
        <f>P126+P127+P128</f>
        <v>20226.936000000002</v>
      </c>
      <c r="Q125" s="85">
        <f>Q126+Q127+Q128</f>
        <v>6258.7049999999999</v>
      </c>
      <c r="R125" s="118">
        <f t="shared" si="83"/>
        <v>0</v>
      </c>
      <c r="S125" s="85">
        <f>S126+S127+S128</f>
        <v>0</v>
      </c>
      <c r="T125" s="85">
        <f t="shared" ref="T125:AC125" si="86">T126+T127+T128</f>
        <v>0</v>
      </c>
      <c r="U125" s="85">
        <f t="shared" si="86"/>
        <v>0</v>
      </c>
      <c r="V125" s="85">
        <f t="shared" si="86"/>
        <v>0</v>
      </c>
      <c r="W125" s="85">
        <f t="shared" si="86"/>
        <v>0</v>
      </c>
      <c r="X125" s="85">
        <f t="shared" si="86"/>
        <v>0</v>
      </c>
      <c r="Y125" s="85">
        <f t="shared" si="86"/>
        <v>0</v>
      </c>
      <c r="Z125" s="85">
        <f t="shared" si="86"/>
        <v>0</v>
      </c>
      <c r="AA125" s="85">
        <f t="shared" si="86"/>
        <v>0</v>
      </c>
      <c r="AB125" s="85">
        <f t="shared" si="86"/>
        <v>0</v>
      </c>
      <c r="AC125" s="150">
        <f t="shared" si="86"/>
        <v>0</v>
      </c>
      <c r="AD125" s="146">
        <f t="shared" si="58"/>
        <v>26485.641000000003</v>
      </c>
    </row>
    <row r="126" spans="1:246">
      <c r="A126" s="29"/>
      <c r="B126" s="10" t="s">
        <v>31</v>
      </c>
      <c r="C126" s="30"/>
      <c r="D126" s="31"/>
      <c r="E126" s="32"/>
      <c r="F126" s="33">
        <f>H126+I126+AD126</f>
        <v>24311.824999999997</v>
      </c>
      <c r="G126" s="34">
        <v>789</v>
      </c>
      <c r="H126" s="33">
        <v>789</v>
      </c>
      <c r="I126" s="33">
        <f t="shared" si="82"/>
        <v>2321.136</v>
      </c>
      <c r="J126" s="33">
        <v>0</v>
      </c>
      <c r="K126" s="33">
        <v>0</v>
      </c>
      <c r="L126" s="33">
        <v>0</v>
      </c>
      <c r="M126" s="39">
        <v>0</v>
      </c>
      <c r="N126" s="86">
        <v>334.82499999999999</v>
      </c>
      <c r="O126" s="86">
        <v>1986.3109999999999</v>
      </c>
      <c r="P126" s="87">
        <v>14942.984</v>
      </c>
      <c r="Q126" s="87">
        <v>6258.7049999999999</v>
      </c>
      <c r="R126" s="119">
        <f t="shared" si="83"/>
        <v>0</v>
      </c>
      <c r="S126" s="87">
        <v>0</v>
      </c>
      <c r="T126" s="87">
        <v>0</v>
      </c>
      <c r="U126" s="87">
        <v>0</v>
      </c>
      <c r="V126" s="87">
        <v>0</v>
      </c>
      <c r="W126" s="87">
        <v>0</v>
      </c>
      <c r="X126" s="87">
        <v>0</v>
      </c>
      <c r="Y126" s="87">
        <v>0</v>
      </c>
      <c r="Z126" s="87">
        <v>0</v>
      </c>
      <c r="AA126" s="87">
        <v>0</v>
      </c>
      <c r="AB126" s="87">
        <v>0</v>
      </c>
      <c r="AC126" s="161">
        <v>0</v>
      </c>
      <c r="AD126" s="148">
        <f t="shared" si="58"/>
        <v>21201.688999999998</v>
      </c>
    </row>
    <row r="127" spans="1:246">
      <c r="A127" s="29"/>
      <c r="B127" s="38" t="s">
        <v>41</v>
      </c>
      <c r="C127" s="30"/>
      <c r="D127" s="31"/>
      <c r="E127" s="32"/>
      <c r="F127" s="33">
        <f>H127+I127+AD127</f>
        <v>0</v>
      </c>
      <c r="G127" s="34"/>
      <c r="H127" s="33"/>
      <c r="I127" s="33">
        <f t="shared" si="82"/>
        <v>0</v>
      </c>
      <c r="J127" s="33"/>
      <c r="K127" s="33">
        <v>0</v>
      </c>
      <c r="L127" s="33">
        <v>0</v>
      </c>
      <c r="M127" s="39">
        <v>0</v>
      </c>
      <c r="N127" s="89">
        <v>0</v>
      </c>
      <c r="O127" s="87">
        <v>0</v>
      </c>
      <c r="P127" s="87">
        <v>0</v>
      </c>
      <c r="Q127" s="87">
        <v>0</v>
      </c>
      <c r="R127" s="119">
        <f t="shared" si="83"/>
        <v>0</v>
      </c>
      <c r="S127" s="87">
        <v>0</v>
      </c>
      <c r="T127" s="87">
        <v>0</v>
      </c>
      <c r="U127" s="87">
        <v>0</v>
      </c>
      <c r="V127" s="87">
        <v>0</v>
      </c>
      <c r="W127" s="87">
        <v>0</v>
      </c>
      <c r="X127" s="87">
        <v>0</v>
      </c>
      <c r="Y127" s="87">
        <v>0</v>
      </c>
      <c r="Z127" s="87">
        <v>0</v>
      </c>
      <c r="AA127" s="87">
        <v>0</v>
      </c>
      <c r="AB127" s="87">
        <v>0</v>
      </c>
      <c r="AC127" s="161">
        <v>0</v>
      </c>
      <c r="AD127" s="148">
        <f t="shared" si="58"/>
        <v>0</v>
      </c>
    </row>
    <row r="128" spans="1:246">
      <c r="A128" s="29"/>
      <c r="B128" s="10" t="s">
        <v>32</v>
      </c>
      <c r="C128" s="30"/>
      <c r="D128" s="31"/>
      <c r="E128" s="32"/>
      <c r="F128" s="33">
        <f>H128+I128+AD128</f>
        <v>7058.6480000000001</v>
      </c>
      <c r="G128" s="34">
        <v>0</v>
      </c>
      <c r="H128" s="33">
        <v>0</v>
      </c>
      <c r="I128" s="33">
        <f t="shared" si="82"/>
        <v>1774.6959999999999</v>
      </c>
      <c r="J128" s="33">
        <v>0</v>
      </c>
      <c r="K128" s="33">
        <v>0</v>
      </c>
      <c r="L128" s="33">
        <v>0</v>
      </c>
      <c r="M128" s="39">
        <v>0</v>
      </c>
      <c r="N128" s="89">
        <v>230.47200000000001</v>
      </c>
      <c r="O128" s="87">
        <v>1544.2239999999999</v>
      </c>
      <c r="P128" s="87">
        <v>5283.9520000000002</v>
      </c>
      <c r="Q128" s="87">
        <v>0</v>
      </c>
      <c r="R128" s="119">
        <f t="shared" si="83"/>
        <v>0</v>
      </c>
      <c r="S128" s="87">
        <v>0</v>
      </c>
      <c r="T128" s="87">
        <v>0</v>
      </c>
      <c r="U128" s="87">
        <v>0</v>
      </c>
      <c r="V128" s="87">
        <v>0</v>
      </c>
      <c r="W128" s="87">
        <v>0</v>
      </c>
      <c r="X128" s="87">
        <v>0</v>
      </c>
      <c r="Y128" s="87">
        <v>0</v>
      </c>
      <c r="Z128" s="87">
        <v>0</v>
      </c>
      <c r="AA128" s="87">
        <v>0</v>
      </c>
      <c r="AB128" s="87">
        <v>0</v>
      </c>
      <c r="AC128" s="161">
        <v>0</v>
      </c>
      <c r="AD128" s="148">
        <f t="shared" si="58"/>
        <v>5283.9520000000002</v>
      </c>
    </row>
    <row r="129" spans="1:246" ht="45">
      <c r="A129" s="20">
        <v>39</v>
      </c>
      <c r="B129" s="100" t="s">
        <v>373</v>
      </c>
      <c r="C129" s="24" t="s">
        <v>51</v>
      </c>
      <c r="D129" s="25" t="s">
        <v>105</v>
      </c>
      <c r="E129" s="26">
        <f>F130</f>
        <v>1447.5</v>
      </c>
      <c r="F129" s="27">
        <f>F130+F131</f>
        <v>2850</v>
      </c>
      <c r="G129" s="27">
        <f>G130+G131</f>
        <v>0</v>
      </c>
      <c r="H129" s="27">
        <f>H130+H131</f>
        <v>0</v>
      </c>
      <c r="I129" s="28">
        <f>SUM(K129:O129)</f>
        <v>180.81699999999998</v>
      </c>
      <c r="J129" s="27">
        <f t="shared" ref="J129:Q129" si="87">J130+J131</f>
        <v>0</v>
      </c>
      <c r="K129" s="27">
        <f t="shared" si="87"/>
        <v>0</v>
      </c>
      <c r="L129" s="27">
        <f t="shared" si="87"/>
        <v>0</v>
      </c>
      <c r="M129" s="27">
        <f t="shared" si="87"/>
        <v>0</v>
      </c>
      <c r="N129" s="85">
        <f t="shared" si="87"/>
        <v>0</v>
      </c>
      <c r="O129" s="85">
        <f t="shared" si="87"/>
        <v>180.81699999999998</v>
      </c>
      <c r="P129" s="88">
        <f t="shared" si="87"/>
        <v>2669.183</v>
      </c>
      <c r="Q129" s="85">
        <f t="shared" si="87"/>
        <v>0</v>
      </c>
      <c r="R129" s="118">
        <f>SUM(S129:AC129)</f>
        <v>0</v>
      </c>
      <c r="S129" s="85">
        <f>S130+S131</f>
        <v>0</v>
      </c>
      <c r="T129" s="85">
        <f t="shared" ref="T129:AC129" si="88">T130+T131</f>
        <v>0</v>
      </c>
      <c r="U129" s="85">
        <f t="shared" si="88"/>
        <v>0</v>
      </c>
      <c r="V129" s="85">
        <f t="shared" si="88"/>
        <v>0</v>
      </c>
      <c r="W129" s="85">
        <f t="shared" si="88"/>
        <v>0</v>
      </c>
      <c r="X129" s="85">
        <f t="shared" si="88"/>
        <v>0</v>
      </c>
      <c r="Y129" s="85">
        <f t="shared" si="88"/>
        <v>0</v>
      </c>
      <c r="Z129" s="85">
        <f t="shared" si="88"/>
        <v>0</v>
      </c>
      <c r="AA129" s="85">
        <f t="shared" si="88"/>
        <v>0</v>
      </c>
      <c r="AB129" s="85">
        <f t="shared" si="88"/>
        <v>0</v>
      </c>
      <c r="AC129" s="150">
        <f t="shared" si="88"/>
        <v>0</v>
      </c>
      <c r="AD129" s="146">
        <f t="shared" si="58"/>
        <v>2669.183</v>
      </c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</row>
    <row r="130" spans="1:246">
      <c r="A130" s="29"/>
      <c r="B130" s="10" t="s">
        <v>31</v>
      </c>
      <c r="C130" s="33"/>
      <c r="D130" s="33"/>
      <c r="E130" s="33"/>
      <c r="F130" s="33">
        <f>H130+I130+AD130</f>
        <v>1447.5</v>
      </c>
      <c r="G130" s="33">
        <v>0</v>
      </c>
      <c r="H130" s="33">
        <v>0</v>
      </c>
      <c r="I130" s="33">
        <f>SUM(K130:O130)</f>
        <v>27.123000000000001</v>
      </c>
      <c r="J130" s="11">
        <v>0</v>
      </c>
      <c r="K130" s="11">
        <v>0</v>
      </c>
      <c r="L130" s="42">
        <v>0</v>
      </c>
      <c r="M130" s="12">
        <v>0</v>
      </c>
      <c r="N130" s="94">
        <v>0</v>
      </c>
      <c r="O130" s="86">
        <v>27.123000000000001</v>
      </c>
      <c r="P130" s="91">
        <f>100+1320.377</f>
        <v>1420.377</v>
      </c>
      <c r="Q130" s="91">
        <v>0</v>
      </c>
      <c r="R130" s="119">
        <f>SUM(S130:AC130)</f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  <c r="AC130" s="163">
        <v>0</v>
      </c>
      <c r="AD130" s="148">
        <f t="shared" si="58"/>
        <v>1420.377</v>
      </c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</row>
    <row r="131" spans="1:246">
      <c r="A131" s="29"/>
      <c r="B131" s="38" t="s">
        <v>41</v>
      </c>
      <c r="C131" s="33"/>
      <c r="D131" s="33"/>
      <c r="E131" s="33"/>
      <c r="F131" s="33">
        <f>H131+I131+AD131</f>
        <v>1402.5</v>
      </c>
      <c r="G131" s="33">
        <v>0</v>
      </c>
      <c r="H131" s="33">
        <v>0</v>
      </c>
      <c r="I131" s="33">
        <f>SUM(K131:O131)</f>
        <v>153.69399999999999</v>
      </c>
      <c r="J131" s="11">
        <v>0</v>
      </c>
      <c r="K131" s="11">
        <v>0</v>
      </c>
      <c r="L131" s="42">
        <v>0</v>
      </c>
      <c r="M131" s="42">
        <v>0</v>
      </c>
      <c r="N131" s="94">
        <v>0</v>
      </c>
      <c r="O131" s="86">
        <v>153.69399999999999</v>
      </c>
      <c r="P131" s="91">
        <v>1248.806</v>
      </c>
      <c r="Q131" s="91">
        <v>0</v>
      </c>
      <c r="R131" s="119">
        <f>SUM(S131:AC131)</f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91">
        <v>0</v>
      </c>
      <c r="AC131" s="163">
        <v>0</v>
      </c>
      <c r="AD131" s="148">
        <f t="shared" si="58"/>
        <v>1248.806</v>
      </c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</row>
    <row r="132" spans="1:246" ht="22.5">
      <c r="A132" s="48">
        <v>40</v>
      </c>
      <c r="B132" s="23" t="s">
        <v>111</v>
      </c>
      <c r="C132" s="24" t="s">
        <v>57</v>
      </c>
      <c r="D132" s="25" t="s">
        <v>444</v>
      </c>
      <c r="E132" s="26">
        <f>F133</f>
        <v>84572.819999999992</v>
      </c>
      <c r="F132" s="27">
        <f>F133+F134</f>
        <v>84903.689999999988</v>
      </c>
      <c r="G132" s="28">
        <v>0</v>
      </c>
      <c r="H132" s="28">
        <v>0</v>
      </c>
      <c r="I132" s="28">
        <f t="shared" si="82"/>
        <v>11470.545</v>
      </c>
      <c r="J132" s="27">
        <f>J133</f>
        <v>0</v>
      </c>
      <c r="K132" s="27">
        <f>K133</f>
        <v>0</v>
      </c>
      <c r="L132" s="27">
        <f>L133</f>
        <v>0</v>
      </c>
      <c r="M132" s="27">
        <f>M133</f>
        <v>565</v>
      </c>
      <c r="N132" s="85">
        <f>N133</f>
        <v>2333.33</v>
      </c>
      <c r="O132" s="85">
        <f>O133+O134</f>
        <v>8572.2150000000001</v>
      </c>
      <c r="P132" s="85">
        <f>P133+P134</f>
        <v>26418.225000000002</v>
      </c>
      <c r="Q132" s="85">
        <f>Q133+Q134</f>
        <v>26994.92</v>
      </c>
      <c r="R132" s="118">
        <f t="shared" si="83"/>
        <v>20020</v>
      </c>
      <c r="S132" s="85">
        <f>S133+S134</f>
        <v>20020</v>
      </c>
      <c r="T132" s="85">
        <f t="shared" ref="T132:AD132" si="89">T133+T134</f>
        <v>0</v>
      </c>
      <c r="U132" s="85">
        <f t="shared" si="89"/>
        <v>0</v>
      </c>
      <c r="V132" s="85">
        <f t="shared" si="89"/>
        <v>0</v>
      </c>
      <c r="W132" s="85">
        <f t="shared" si="89"/>
        <v>0</v>
      </c>
      <c r="X132" s="85">
        <f t="shared" si="89"/>
        <v>0</v>
      </c>
      <c r="Y132" s="85">
        <f t="shared" si="89"/>
        <v>0</v>
      </c>
      <c r="Z132" s="85">
        <f t="shared" si="89"/>
        <v>0</v>
      </c>
      <c r="AA132" s="85">
        <f t="shared" si="89"/>
        <v>0</v>
      </c>
      <c r="AB132" s="85">
        <f t="shared" si="89"/>
        <v>0</v>
      </c>
      <c r="AC132" s="150">
        <f t="shared" si="89"/>
        <v>0</v>
      </c>
      <c r="AD132" s="150">
        <f t="shared" si="89"/>
        <v>73433.14499999999</v>
      </c>
    </row>
    <row r="133" spans="1:246">
      <c r="A133" s="49"/>
      <c r="B133" s="10" t="s">
        <v>31</v>
      </c>
      <c r="C133" s="30"/>
      <c r="D133" s="31"/>
      <c r="E133" s="32"/>
      <c r="F133" s="33">
        <f>H133+I133+AD133</f>
        <v>84572.819999999992</v>
      </c>
      <c r="G133" s="34"/>
      <c r="H133" s="45">
        <v>0</v>
      </c>
      <c r="I133" s="33">
        <f t="shared" si="82"/>
        <v>11305.11</v>
      </c>
      <c r="J133" s="33">
        <v>0</v>
      </c>
      <c r="K133" s="33">
        <v>0</v>
      </c>
      <c r="L133" s="33">
        <v>0</v>
      </c>
      <c r="M133" s="33">
        <v>565</v>
      </c>
      <c r="N133" s="86">
        <v>2333.33</v>
      </c>
      <c r="O133" s="86">
        <v>8406.7800000000007</v>
      </c>
      <c r="P133" s="86">
        <v>26252.79</v>
      </c>
      <c r="Q133" s="86">
        <v>26994.92</v>
      </c>
      <c r="R133" s="119">
        <f t="shared" si="83"/>
        <v>20020</v>
      </c>
      <c r="S133" s="87">
        <v>20020</v>
      </c>
      <c r="T133" s="87">
        <v>0</v>
      </c>
      <c r="U133" s="87">
        <v>0</v>
      </c>
      <c r="V133" s="87">
        <v>0</v>
      </c>
      <c r="W133" s="87">
        <v>0</v>
      </c>
      <c r="X133" s="87">
        <v>0</v>
      </c>
      <c r="Y133" s="87">
        <v>0</v>
      </c>
      <c r="Z133" s="87">
        <v>0</v>
      </c>
      <c r="AA133" s="87">
        <v>0</v>
      </c>
      <c r="AB133" s="87">
        <v>0</v>
      </c>
      <c r="AC133" s="161">
        <v>0</v>
      </c>
      <c r="AD133" s="148">
        <f t="shared" si="58"/>
        <v>73267.709999999992</v>
      </c>
    </row>
    <row r="134" spans="1:246">
      <c r="A134" s="49"/>
      <c r="B134" s="10" t="s">
        <v>32</v>
      </c>
      <c r="C134" s="30"/>
      <c r="D134" s="31"/>
      <c r="E134" s="32"/>
      <c r="F134" s="33">
        <f>H134+I134+AD134</f>
        <v>330.87</v>
      </c>
      <c r="G134" s="34"/>
      <c r="H134" s="45"/>
      <c r="I134" s="33">
        <f t="shared" si="82"/>
        <v>165.435</v>
      </c>
      <c r="J134" s="33"/>
      <c r="K134" s="33"/>
      <c r="L134" s="33"/>
      <c r="M134" s="33"/>
      <c r="N134" s="86"/>
      <c r="O134" s="86">
        <v>165.435</v>
      </c>
      <c r="P134" s="86">
        <v>165.435</v>
      </c>
      <c r="Q134" s="86">
        <v>0</v>
      </c>
      <c r="R134" s="119">
        <f t="shared" si="83"/>
        <v>0</v>
      </c>
      <c r="S134" s="87">
        <v>0</v>
      </c>
      <c r="T134" s="87">
        <v>0</v>
      </c>
      <c r="U134" s="87">
        <v>0</v>
      </c>
      <c r="V134" s="87">
        <v>0</v>
      </c>
      <c r="W134" s="87">
        <v>0</v>
      </c>
      <c r="X134" s="87">
        <v>0</v>
      </c>
      <c r="Y134" s="87">
        <v>0</v>
      </c>
      <c r="Z134" s="87">
        <v>0</v>
      </c>
      <c r="AA134" s="87">
        <v>0</v>
      </c>
      <c r="AB134" s="87">
        <v>0</v>
      </c>
      <c r="AC134" s="161">
        <v>0</v>
      </c>
      <c r="AD134" s="148">
        <f t="shared" si="58"/>
        <v>165.435</v>
      </c>
    </row>
    <row r="135" spans="1:246">
      <c r="A135" s="50" t="s">
        <v>113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95"/>
      <c r="O135" s="95"/>
      <c r="P135" s="95"/>
      <c r="Q135" s="95"/>
      <c r="R135" s="120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166"/>
      <c r="AD135" s="151">
        <f t="shared" si="58"/>
        <v>0</v>
      </c>
    </row>
    <row r="136" spans="1:246" ht="29.25">
      <c r="A136" s="20">
        <v>41</v>
      </c>
      <c r="B136" s="23" t="s">
        <v>114</v>
      </c>
      <c r="C136" s="24" t="s">
        <v>115</v>
      </c>
      <c r="D136" s="25" t="s">
        <v>30</v>
      </c>
      <c r="E136" s="26">
        <f>F137</f>
        <v>126666.34599999999</v>
      </c>
      <c r="F136" s="27">
        <f>F137+F138</f>
        <v>129378.37899999999</v>
      </c>
      <c r="G136" s="27">
        <f>G137+G138</f>
        <v>69500.98</v>
      </c>
      <c r="H136" s="27">
        <f>H137+H138</f>
        <v>76651.98</v>
      </c>
      <c r="I136" s="28">
        <f t="shared" ref="I136:I192" si="90">SUM(K136:O136)</f>
        <v>52726.398999999998</v>
      </c>
      <c r="J136" s="27">
        <f>J137+J138</f>
        <v>7151</v>
      </c>
      <c r="K136" s="27">
        <f>K137+K138</f>
        <v>6482.9389999999994</v>
      </c>
      <c r="L136" s="27">
        <f>L137+L138</f>
        <v>13795.22</v>
      </c>
      <c r="M136" s="27">
        <f>M137+M138</f>
        <v>16604.474999999999</v>
      </c>
      <c r="N136" s="85">
        <f>SUM(N137:N138)</f>
        <v>15843.764999999999</v>
      </c>
      <c r="O136" s="85">
        <f>O137+O138</f>
        <v>0</v>
      </c>
      <c r="P136" s="85">
        <f>P137+P138</f>
        <v>0</v>
      </c>
      <c r="Q136" s="85">
        <f>Q137+Q138</f>
        <v>0</v>
      </c>
      <c r="R136" s="118">
        <f t="shared" ref="R136:R192" si="91">SUM(S136:AC136)</f>
        <v>0</v>
      </c>
      <c r="S136" s="85">
        <f t="shared" ref="S136:AC136" si="92">S137+S138</f>
        <v>0</v>
      </c>
      <c r="T136" s="85">
        <f t="shared" si="92"/>
        <v>0</v>
      </c>
      <c r="U136" s="85">
        <f t="shared" si="92"/>
        <v>0</v>
      </c>
      <c r="V136" s="85">
        <f t="shared" si="92"/>
        <v>0</v>
      </c>
      <c r="W136" s="85">
        <f t="shared" si="92"/>
        <v>0</v>
      </c>
      <c r="X136" s="85">
        <f t="shared" si="92"/>
        <v>0</v>
      </c>
      <c r="Y136" s="85">
        <f t="shared" si="92"/>
        <v>0</v>
      </c>
      <c r="Z136" s="85">
        <f t="shared" si="92"/>
        <v>0</v>
      </c>
      <c r="AA136" s="85">
        <f t="shared" si="92"/>
        <v>0</v>
      </c>
      <c r="AB136" s="85">
        <f t="shared" si="92"/>
        <v>0</v>
      </c>
      <c r="AC136" s="150">
        <f t="shared" si="92"/>
        <v>0</v>
      </c>
      <c r="AD136" s="146">
        <f t="shared" si="58"/>
        <v>0</v>
      </c>
    </row>
    <row r="137" spans="1:246">
      <c r="A137" s="40"/>
      <c r="B137" s="10" t="s">
        <v>31</v>
      </c>
      <c r="C137" s="30"/>
      <c r="D137" s="31"/>
      <c r="E137" s="32"/>
      <c r="F137" s="33">
        <f>H137+I137+AD137</f>
        <v>126666.34599999999</v>
      </c>
      <c r="G137" s="34">
        <v>69500.98</v>
      </c>
      <c r="H137" s="33">
        <v>76651.98</v>
      </c>
      <c r="I137" s="33">
        <f t="shared" si="90"/>
        <v>50014.365999999995</v>
      </c>
      <c r="J137" s="33">
        <v>7151</v>
      </c>
      <c r="K137" s="33">
        <v>5804.9319999999998</v>
      </c>
      <c r="L137" s="33">
        <v>11761.194</v>
      </c>
      <c r="M137" s="35">
        <f>19964.566-318-114.7-1520.144-198.247-990-123-96</f>
        <v>16604.474999999999</v>
      </c>
      <c r="N137" s="87">
        <v>15843.764999999999</v>
      </c>
      <c r="O137" s="87">
        <v>0</v>
      </c>
      <c r="P137" s="87">
        <v>0</v>
      </c>
      <c r="Q137" s="87">
        <v>0</v>
      </c>
      <c r="R137" s="119">
        <f t="shared" si="91"/>
        <v>0</v>
      </c>
      <c r="S137" s="87">
        <v>0</v>
      </c>
      <c r="T137" s="87">
        <v>0</v>
      </c>
      <c r="U137" s="87">
        <v>0</v>
      </c>
      <c r="V137" s="87">
        <v>0</v>
      </c>
      <c r="W137" s="87">
        <v>0</v>
      </c>
      <c r="X137" s="87">
        <v>0</v>
      </c>
      <c r="Y137" s="87">
        <v>0</v>
      </c>
      <c r="Z137" s="87">
        <v>0</v>
      </c>
      <c r="AA137" s="87">
        <v>0</v>
      </c>
      <c r="AB137" s="87">
        <v>0</v>
      </c>
      <c r="AC137" s="161">
        <v>0</v>
      </c>
      <c r="AD137" s="148">
        <f t="shared" si="58"/>
        <v>0</v>
      </c>
    </row>
    <row r="138" spans="1:246">
      <c r="A138" s="40"/>
      <c r="B138" s="10" t="s">
        <v>116</v>
      </c>
      <c r="C138" s="30"/>
      <c r="D138" s="31"/>
      <c r="E138" s="32"/>
      <c r="F138" s="33">
        <f>H138+I138+AD138</f>
        <v>2712.0329999999999</v>
      </c>
      <c r="G138" s="34">
        <v>0</v>
      </c>
      <c r="H138" s="33">
        <v>0</v>
      </c>
      <c r="I138" s="33">
        <f t="shared" si="90"/>
        <v>2712.0329999999999</v>
      </c>
      <c r="J138" s="33">
        <v>0</v>
      </c>
      <c r="K138" s="33">
        <v>678.00699999999995</v>
      </c>
      <c r="L138" s="33">
        <v>2034.0260000000001</v>
      </c>
      <c r="M138" s="33">
        <v>0</v>
      </c>
      <c r="N138" s="87">
        <v>0</v>
      </c>
      <c r="O138" s="87">
        <v>0</v>
      </c>
      <c r="P138" s="87">
        <v>0</v>
      </c>
      <c r="Q138" s="87">
        <v>0</v>
      </c>
      <c r="R138" s="119">
        <f t="shared" si="91"/>
        <v>0</v>
      </c>
      <c r="S138" s="87">
        <v>0</v>
      </c>
      <c r="T138" s="87">
        <v>0</v>
      </c>
      <c r="U138" s="87">
        <v>0</v>
      </c>
      <c r="V138" s="87">
        <v>0</v>
      </c>
      <c r="W138" s="87">
        <v>0</v>
      </c>
      <c r="X138" s="87">
        <v>0</v>
      </c>
      <c r="Y138" s="87">
        <v>0</v>
      </c>
      <c r="Z138" s="87">
        <v>0</v>
      </c>
      <c r="AA138" s="87">
        <v>0</v>
      </c>
      <c r="AB138" s="87">
        <v>0</v>
      </c>
      <c r="AC138" s="161">
        <v>0</v>
      </c>
      <c r="AD138" s="148">
        <f t="shared" si="58"/>
        <v>0</v>
      </c>
    </row>
    <row r="139" spans="1:246" ht="39" customHeight="1">
      <c r="A139" s="20">
        <v>42</v>
      </c>
      <c r="B139" s="56" t="s">
        <v>432</v>
      </c>
      <c r="C139" s="133" t="s">
        <v>306</v>
      </c>
      <c r="D139" s="130" t="s">
        <v>387</v>
      </c>
      <c r="E139" s="131">
        <f>F140</f>
        <v>4307.5289999999995</v>
      </c>
      <c r="F139" s="69">
        <f>F140+F141</f>
        <v>9077.7749999999996</v>
      </c>
      <c r="G139" s="132">
        <f>G140+G141</f>
        <v>0</v>
      </c>
      <c r="H139" s="69">
        <f>H140+H141</f>
        <v>0</v>
      </c>
      <c r="I139" s="69">
        <f t="shared" ref="I139:I144" si="93">SUM(K139:O139)</f>
        <v>550.82500000000005</v>
      </c>
      <c r="J139" s="69">
        <f t="shared" ref="J139:Q139" si="94">J140+J141</f>
        <v>0</v>
      </c>
      <c r="K139" s="69">
        <f t="shared" si="94"/>
        <v>0</v>
      </c>
      <c r="L139" s="69">
        <f t="shared" si="94"/>
        <v>0</v>
      </c>
      <c r="M139" s="69">
        <f t="shared" si="94"/>
        <v>0</v>
      </c>
      <c r="N139" s="113">
        <f t="shared" si="94"/>
        <v>0</v>
      </c>
      <c r="O139" s="88">
        <f t="shared" si="94"/>
        <v>550.82500000000005</v>
      </c>
      <c r="P139" s="88">
        <f t="shared" si="94"/>
        <v>8526.9500000000007</v>
      </c>
      <c r="Q139" s="88">
        <f t="shared" si="94"/>
        <v>0</v>
      </c>
      <c r="R139" s="88">
        <f t="shared" si="91"/>
        <v>0</v>
      </c>
      <c r="S139" s="88">
        <f>S140+S141</f>
        <v>0</v>
      </c>
      <c r="T139" s="88">
        <f t="shared" ref="T139:AC139" si="95">T140+T141</f>
        <v>0</v>
      </c>
      <c r="U139" s="113">
        <f t="shared" si="95"/>
        <v>0</v>
      </c>
      <c r="V139" s="113">
        <f t="shared" si="95"/>
        <v>0</v>
      </c>
      <c r="W139" s="113">
        <f t="shared" si="95"/>
        <v>0</v>
      </c>
      <c r="X139" s="113">
        <f t="shared" si="95"/>
        <v>0</v>
      </c>
      <c r="Y139" s="113">
        <f t="shared" si="95"/>
        <v>0</v>
      </c>
      <c r="Z139" s="113">
        <f t="shared" si="95"/>
        <v>0</v>
      </c>
      <c r="AA139" s="113">
        <f t="shared" si="95"/>
        <v>0</v>
      </c>
      <c r="AB139" s="113">
        <f t="shared" si="95"/>
        <v>0</v>
      </c>
      <c r="AC139" s="162">
        <f t="shared" si="95"/>
        <v>0</v>
      </c>
      <c r="AD139" s="149">
        <f t="shared" si="58"/>
        <v>8526.9500000000007</v>
      </c>
    </row>
    <row r="140" spans="1:246">
      <c r="A140" s="40"/>
      <c r="B140" s="10" t="s">
        <v>31</v>
      </c>
      <c r="C140" s="30"/>
      <c r="D140" s="31"/>
      <c r="E140" s="32"/>
      <c r="F140" s="33">
        <f>H140+I140+AD140</f>
        <v>4307.5289999999995</v>
      </c>
      <c r="G140" s="34"/>
      <c r="H140" s="33"/>
      <c r="I140" s="33">
        <f t="shared" si="93"/>
        <v>122.14100000000001</v>
      </c>
      <c r="J140" s="33"/>
      <c r="K140" s="33"/>
      <c r="L140" s="33"/>
      <c r="M140" s="33"/>
      <c r="N140" s="87"/>
      <c r="O140" s="87">
        <v>122.14100000000001</v>
      </c>
      <c r="P140" s="87">
        <v>4185.3879999999999</v>
      </c>
      <c r="Q140" s="87">
        <v>0</v>
      </c>
      <c r="R140" s="119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161"/>
      <c r="AD140" s="148">
        <f t="shared" si="58"/>
        <v>4185.3879999999999</v>
      </c>
    </row>
    <row r="141" spans="1:246">
      <c r="A141" s="40"/>
      <c r="B141" s="10" t="s">
        <v>41</v>
      </c>
      <c r="C141" s="30"/>
      <c r="D141" s="31"/>
      <c r="E141" s="32"/>
      <c r="F141" s="33">
        <f>H141+I141+AD141</f>
        <v>4770.2460000000001</v>
      </c>
      <c r="G141" s="34"/>
      <c r="H141" s="33"/>
      <c r="I141" s="33">
        <f t="shared" si="93"/>
        <v>428.68400000000003</v>
      </c>
      <c r="J141" s="33"/>
      <c r="K141" s="33"/>
      <c r="L141" s="33"/>
      <c r="M141" s="33"/>
      <c r="N141" s="87"/>
      <c r="O141" s="87">
        <v>428.68400000000003</v>
      </c>
      <c r="P141" s="87">
        <v>4341.5619999999999</v>
      </c>
      <c r="Q141" s="87">
        <v>0</v>
      </c>
      <c r="R141" s="119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161"/>
      <c r="AD141" s="148">
        <f t="shared" si="58"/>
        <v>4341.5619999999999</v>
      </c>
    </row>
    <row r="142" spans="1:246" ht="33.75">
      <c r="A142" s="20">
        <v>43</v>
      </c>
      <c r="B142" s="23" t="s">
        <v>311</v>
      </c>
      <c r="C142" s="24" t="s">
        <v>360</v>
      </c>
      <c r="D142" s="47" t="s">
        <v>321</v>
      </c>
      <c r="E142" s="26">
        <f>F143</f>
        <v>13271.387999999999</v>
      </c>
      <c r="F142" s="27">
        <f>F143+F144</f>
        <v>17817.691999999999</v>
      </c>
      <c r="G142" s="27">
        <f>G143+G144</f>
        <v>0</v>
      </c>
      <c r="H142" s="27">
        <f>H143+H144</f>
        <v>0</v>
      </c>
      <c r="I142" s="28">
        <f t="shared" si="93"/>
        <v>11826.174999999999</v>
      </c>
      <c r="J142" s="27">
        <f t="shared" ref="J142:Q142" si="96">J143+J144</f>
        <v>0</v>
      </c>
      <c r="K142" s="27">
        <f t="shared" si="96"/>
        <v>0</v>
      </c>
      <c r="L142" s="27">
        <f t="shared" si="96"/>
        <v>0</v>
      </c>
      <c r="M142" s="27">
        <f t="shared" si="96"/>
        <v>572.01400000000001</v>
      </c>
      <c r="N142" s="85">
        <f t="shared" si="96"/>
        <v>11254.161</v>
      </c>
      <c r="O142" s="85">
        <f t="shared" si="96"/>
        <v>0</v>
      </c>
      <c r="P142" s="85">
        <f t="shared" si="96"/>
        <v>5991.5169999999998</v>
      </c>
      <c r="Q142" s="85">
        <f t="shared" si="96"/>
        <v>0</v>
      </c>
      <c r="R142" s="118">
        <f t="shared" si="91"/>
        <v>0</v>
      </c>
      <c r="S142" s="85">
        <f>S143+S144</f>
        <v>0</v>
      </c>
      <c r="T142" s="85">
        <f t="shared" ref="T142:AC142" si="97">T143+T144</f>
        <v>0</v>
      </c>
      <c r="U142" s="85">
        <f t="shared" si="97"/>
        <v>0</v>
      </c>
      <c r="V142" s="85">
        <f t="shared" si="97"/>
        <v>0</v>
      </c>
      <c r="W142" s="85">
        <f t="shared" si="97"/>
        <v>0</v>
      </c>
      <c r="X142" s="85">
        <f t="shared" si="97"/>
        <v>0</v>
      </c>
      <c r="Y142" s="85">
        <f t="shared" si="97"/>
        <v>0</v>
      </c>
      <c r="Z142" s="85">
        <f t="shared" si="97"/>
        <v>0</v>
      </c>
      <c r="AA142" s="85">
        <f t="shared" si="97"/>
        <v>0</v>
      </c>
      <c r="AB142" s="85">
        <f t="shared" si="97"/>
        <v>0</v>
      </c>
      <c r="AC142" s="150">
        <f t="shared" si="97"/>
        <v>0</v>
      </c>
      <c r="AD142" s="146">
        <f t="shared" si="58"/>
        <v>5991.5169999999998</v>
      </c>
    </row>
    <row r="143" spans="1:246">
      <c r="A143" s="29"/>
      <c r="B143" s="10" t="s">
        <v>31</v>
      </c>
      <c r="C143" s="33"/>
      <c r="D143" s="33"/>
      <c r="E143" s="33"/>
      <c r="F143" s="33">
        <f>H143+I143+AD143</f>
        <v>13271.387999999999</v>
      </c>
      <c r="G143" s="33">
        <v>0</v>
      </c>
      <c r="H143" s="33">
        <v>0</v>
      </c>
      <c r="I143" s="33">
        <f t="shared" si="93"/>
        <v>7279.8710000000001</v>
      </c>
      <c r="J143" s="11">
        <v>0</v>
      </c>
      <c r="K143" s="11">
        <v>0</v>
      </c>
      <c r="L143" s="42">
        <v>0</v>
      </c>
      <c r="M143" s="12">
        <v>198.24700000000001</v>
      </c>
      <c r="N143" s="87">
        <v>7081.6239999999998</v>
      </c>
      <c r="O143" s="86">
        <v>0</v>
      </c>
      <c r="P143" s="86">
        <v>5991.5169999999998</v>
      </c>
      <c r="Q143" s="91">
        <v>0</v>
      </c>
      <c r="R143" s="119">
        <f t="shared" si="91"/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  <c r="AC143" s="163">
        <v>0</v>
      </c>
      <c r="AD143" s="148">
        <f t="shared" si="58"/>
        <v>5991.5169999999998</v>
      </c>
    </row>
    <row r="144" spans="1:246" ht="17.25" customHeight="1">
      <c r="A144" s="29"/>
      <c r="B144" s="38" t="s">
        <v>41</v>
      </c>
      <c r="C144" s="33"/>
      <c r="D144" s="33"/>
      <c r="E144" s="33"/>
      <c r="F144" s="33">
        <f>H144+I144+AD144</f>
        <v>4546.3040000000001</v>
      </c>
      <c r="G144" s="33">
        <v>0</v>
      </c>
      <c r="H144" s="33">
        <v>0</v>
      </c>
      <c r="I144" s="33">
        <f t="shared" si="93"/>
        <v>4546.3040000000001</v>
      </c>
      <c r="J144" s="11">
        <v>0</v>
      </c>
      <c r="K144" s="11">
        <v>0</v>
      </c>
      <c r="L144" s="42">
        <v>0</v>
      </c>
      <c r="M144" s="12">
        <v>373.767</v>
      </c>
      <c r="N144" s="87">
        <v>4172.5370000000003</v>
      </c>
      <c r="O144" s="87">
        <v>0</v>
      </c>
      <c r="P144" s="91">
        <v>0</v>
      </c>
      <c r="Q144" s="91">
        <v>0</v>
      </c>
      <c r="R144" s="119">
        <f t="shared" si="91"/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  <c r="AC144" s="163">
        <v>0</v>
      </c>
      <c r="AD144" s="148">
        <f t="shared" si="58"/>
        <v>0</v>
      </c>
    </row>
    <row r="145" spans="1:30" ht="39.75" customHeight="1">
      <c r="A145" s="20">
        <v>44</v>
      </c>
      <c r="B145" s="23" t="s">
        <v>312</v>
      </c>
      <c r="C145" s="24" t="s">
        <v>306</v>
      </c>
      <c r="D145" s="47" t="s">
        <v>102</v>
      </c>
      <c r="E145" s="26">
        <f>F146</f>
        <v>0</v>
      </c>
      <c r="F145" s="27">
        <f>F146+F147</f>
        <v>0</v>
      </c>
      <c r="G145" s="27">
        <f>G146+G147</f>
        <v>0</v>
      </c>
      <c r="H145" s="27">
        <f>H146+H147</f>
        <v>0</v>
      </c>
      <c r="I145" s="28">
        <f t="shared" ref="I145:I153" si="98">SUM(K145:O145)</f>
        <v>0</v>
      </c>
      <c r="J145" s="27">
        <f t="shared" ref="J145:Q145" si="99">J146+J147</f>
        <v>0</v>
      </c>
      <c r="K145" s="27">
        <f t="shared" si="99"/>
        <v>0</v>
      </c>
      <c r="L145" s="27">
        <f t="shared" si="99"/>
        <v>0</v>
      </c>
      <c r="M145" s="27">
        <f t="shared" si="99"/>
        <v>0</v>
      </c>
      <c r="N145" s="85">
        <f t="shared" si="99"/>
        <v>0</v>
      </c>
      <c r="O145" s="85">
        <f t="shared" si="99"/>
        <v>0</v>
      </c>
      <c r="P145" s="85">
        <f t="shared" si="99"/>
        <v>0</v>
      </c>
      <c r="Q145" s="85">
        <f t="shared" si="99"/>
        <v>0</v>
      </c>
      <c r="R145" s="118">
        <f t="shared" si="91"/>
        <v>0</v>
      </c>
      <c r="S145" s="85">
        <f t="shared" ref="S145:AC145" si="100">S146+S147</f>
        <v>0</v>
      </c>
      <c r="T145" s="85">
        <f t="shared" si="100"/>
        <v>0</v>
      </c>
      <c r="U145" s="85">
        <f t="shared" si="100"/>
        <v>0</v>
      </c>
      <c r="V145" s="85">
        <f t="shared" si="100"/>
        <v>0</v>
      </c>
      <c r="W145" s="85">
        <f t="shared" si="100"/>
        <v>0</v>
      </c>
      <c r="X145" s="85">
        <f t="shared" si="100"/>
        <v>0</v>
      </c>
      <c r="Y145" s="85">
        <f t="shared" si="100"/>
        <v>0</v>
      </c>
      <c r="Z145" s="85">
        <f t="shared" si="100"/>
        <v>0</v>
      </c>
      <c r="AA145" s="85">
        <f t="shared" si="100"/>
        <v>0</v>
      </c>
      <c r="AB145" s="85">
        <f t="shared" si="100"/>
        <v>0</v>
      </c>
      <c r="AC145" s="150">
        <f t="shared" si="100"/>
        <v>0</v>
      </c>
      <c r="AD145" s="146">
        <f t="shared" si="58"/>
        <v>0</v>
      </c>
    </row>
    <row r="146" spans="1:30">
      <c r="A146" s="29"/>
      <c r="B146" s="10" t="s">
        <v>31</v>
      </c>
      <c r="C146" s="33"/>
      <c r="D146" s="33"/>
      <c r="E146" s="33"/>
      <c r="F146" s="33">
        <f>H146+I146+AD146</f>
        <v>0</v>
      </c>
      <c r="G146" s="33">
        <v>0</v>
      </c>
      <c r="H146" s="33">
        <v>0</v>
      </c>
      <c r="I146" s="33">
        <f t="shared" si="98"/>
        <v>0</v>
      </c>
      <c r="J146" s="11">
        <v>0</v>
      </c>
      <c r="K146" s="11">
        <v>0</v>
      </c>
      <c r="L146" s="42">
        <v>0</v>
      </c>
      <c r="M146" s="12">
        <v>0</v>
      </c>
      <c r="N146" s="90">
        <v>0</v>
      </c>
      <c r="O146" s="90">
        <v>0</v>
      </c>
      <c r="P146" s="91">
        <v>0</v>
      </c>
      <c r="Q146" s="91">
        <v>0</v>
      </c>
      <c r="R146" s="119">
        <f t="shared" si="91"/>
        <v>0</v>
      </c>
      <c r="S146" s="91">
        <v>0</v>
      </c>
      <c r="T146" s="91">
        <v>0</v>
      </c>
      <c r="U146" s="91">
        <v>0</v>
      </c>
      <c r="V146" s="91">
        <v>0</v>
      </c>
      <c r="W146" s="91">
        <v>0</v>
      </c>
      <c r="X146" s="91">
        <v>0</v>
      </c>
      <c r="Y146" s="91">
        <v>0</v>
      </c>
      <c r="Z146" s="91">
        <v>0</v>
      </c>
      <c r="AA146" s="91">
        <v>0</v>
      </c>
      <c r="AB146" s="91">
        <v>0</v>
      </c>
      <c r="AC146" s="163">
        <v>0</v>
      </c>
      <c r="AD146" s="148">
        <f t="shared" si="58"/>
        <v>0</v>
      </c>
    </row>
    <row r="147" spans="1:30" ht="17.25" customHeight="1">
      <c r="A147" s="29"/>
      <c r="B147" s="38" t="s">
        <v>41</v>
      </c>
      <c r="C147" s="33"/>
      <c r="D147" s="33"/>
      <c r="E147" s="33"/>
      <c r="F147" s="33">
        <f>H147+I147+AD147</f>
        <v>0</v>
      </c>
      <c r="G147" s="33">
        <v>0</v>
      </c>
      <c r="H147" s="33">
        <v>0</v>
      </c>
      <c r="I147" s="33">
        <f t="shared" si="98"/>
        <v>0</v>
      </c>
      <c r="J147" s="11">
        <v>0</v>
      </c>
      <c r="K147" s="11">
        <v>0</v>
      </c>
      <c r="L147" s="42">
        <v>0</v>
      </c>
      <c r="M147" s="12">
        <v>0</v>
      </c>
      <c r="N147" s="90">
        <v>0</v>
      </c>
      <c r="O147" s="90">
        <v>0</v>
      </c>
      <c r="P147" s="91">
        <v>0</v>
      </c>
      <c r="Q147" s="91">
        <v>0</v>
      </c>
      <c r="R147" s="119">
        <f t="shared" si="91"/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  <c r="AC147" s="163">
        <v>0</v>
      </c>
      <c r="AD147" s="148">
        <f t="shared" si="58"/>
        <v>0</v>
      </c>
    </row>
    <row r="148" spans="1:30" ht="41.25" customHeight="1">
      <c r="A148" s="20">
        <v>45</v>
      </c>
      <c r="B148" s="23" t="s">
        <v>313</v>
      </c>
      <c r="C148" s="24" t="s">
        <v>306</v>
      </c>
      <c r="D148" s="47" t="s">
        <v>102</v>
      </c>
      <c r="E148" s="26">
        <f>F149</f>
        <v>11433.608</v>
      </c>
      <c r="F148" s="27">
        <f>F149+F150</f>
        <v>13801.174999999999</v>
      </c>
      <c r="G148" s="27">
        <f>G149+G150</f>
        <v>0</v>
      </c>
      <c r="H148" s="27">
        <f>H149+H150</f>
        <v>0</v>
      </c>
      <c r="I148" s="28">
        <f t="shared" si="98"/>
        <v>13801.174999999999</v>
      </c>
      <c r="J148" s="27">
        <f t="shared" ref="J148:Q148" si="101">J149+J150</f>
        <v>0</v>
      </c>
      <c r="K148" s="27">
        <f t="shared" si="101"/>
        <v>0</v>
      </c>
      <c r="L148" s="27">
        <f t="shared" si="101"/>
        <v>0</v>
      </c>
      <c r="M148" s="27">
        <f t="shared" si="101"/>
        <v>1644.06</v>
      </c>
      <c r="N148" s="85">
        <f t="shared" si="101"/>
        <v>10628.661</v>
      </c>
      <c r="O148" s="85">
        <f t="shared" si="101"/>
        <v>1528.454</v>
      </c>
      <c r="P148" s="85">
        <f t="shared" si="101"/>
        <v>0</v>
      </c>
      <c r="Q148" s="85">
        <f t="shared" si="101"/>
        <v>0</v>
      </c>
      <c r="R148" s="118">
        <f t="shared" si="91"/>
        <v>0</v>
      </c>
      <c r="S148" s="85">
        <f t="shared" ref="S148:AC148" si="102">S149+S150</f>
        <v>0</v>
      </c>
      <c r="T148" s="85">
        <f t="shared" si="102"/>
        <v>0</v>
      </c>
      <c r="U148" s="85">
        <f t="shared" si="102"/>
        <v>0</v>
      </c>
      <c r="V148" s="85">
        <f t="shared" si="102"/>
        <v>0</v>
      </c>
      <c r="W148" s="85">
        <f t="shared" si="102"/>
        <v>0</v>
      </c>
      <c r="X148" s="85">
        <f t="shared" si="102"/>
        <v>0</v>
      </c>
      <c r="Y148" s="85">
        <f t="shared" si="102"/>
        <v>0</v>
      </c>
      <c r="Z148" s="85">
        <f t="shared" si="102"/>
        <v>0</v>
      </c>
      <c r="AA148" s="85">
        <f t="shared" si="102"/>
        <v>0</v>
      </c>
      <c r="AB148" s="85">
        <f t="shared" si="102"/>
        <v>0</v>
      </c>
      <c r="AC148" s="150">
        <f t="shared" si="102"/>
        <v>0</v>
      </c>
      <c r="AD148" s="146">
        <f t="shared" si="58"/>
        <v>0</v>
      </c>
    </row>
    <row r="149" spans="1:30">
      <c r="A149" s="29"/>
      <c r="B149" s="10" t="s">
        <v>31</v>
      </c>
      <c r="C149" s="33"/>
      <c r="D149" s="33"/>
      <c r="E149" s="33"/>
      <c r="F149" s="33">
        <f>H149+I149+AD149</f>
        <v>11433.608</v>
      </c>
      <c r="G149" s="33">
        <v>0</v>
      </c>
      <c r="H149" s="33">
        <v>0</v>
      </c>
      <c r="I149" s="33">
        <f t="shared" si="98"/>
        <v>11433.608</v>
      </c>
      <c r="J149" s="11">
        <v>0</v>
      </c>
      <c r="K149" s="11">
        <v>0</v>
      </c>
      <c r="L149" s="42">
        <v>0</v>
      </c>
      <c r="M149" s="12">
        <f>108.803+729.706+189</f>
        <v>1027.509</v>
      </c>
      <c r="N149" s="87">
        <v>8877.6450000000004</v>
      </c>
      <c r="O149" s="87">
        <v>1528.454</v>
      </c>
      <c r="P149" s="91">
        <v>0</v>
      </c>
      <c r="Q149" s="91">
        <v>0</v>
      </c>
      <c r="R149" s="119">
        <f t="shared" si="91"/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  <c r="AC149" s="163">
        <v>0</v>
      </c>
      <c r="AD149" s="148">
        <f t="shared" si="58"/>
        <v>0</v>
      </c>
    </row>
    <row r="150" spans="1:30" ht="17.25" customHeight="1">
      <c r="A150" s="29"/>
      <c r="B150" s="38" t="s">
        <v>41</v>
      </c>
      <c r="C150" s="33"/>
      <c r="D150" s="33"/>
      <c r="E150" s="33"/>
      <c r="F150" s="33">
        <f>H150+I150+AD150</f>
        <v>2367.567</v>
      </c>
      <c r="G150" s="33">
        <v>0</v>
      </c>
      <c r="H150" s="33">
        <v>0</v>
      </c>
      <c r="I150" s="33">
        <f t="shared" si="98"/>
        <v>2367.567</v>
      </c>
      <c r="J150" s="11">
        <v>0</v>
      </c>
      <c r="K150" s="11">
        <v>0</v>
      </c>
      <c r="L150" s="42">
        <v>0</v>
      </c>
      <c r="M150" s="12">
        <v>616.55100000000004</v>
      </c>
      <c r="N150" s="87">
        <v>1751.0160000000001</v>
      </c>
      <c r="O150" s="87">
        <v>0</v>
      </c>
      <c r="P150" s="91">
        <v>0</v>
      </c>
      <c r="Q150" s="91">
        <v>0</v>
      </c>
      <c r="R150" s="119">
        <f t="shared" si="91"/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  <c r="AC150" s="163">
        <v>0</v>
      </c>
      <c r="AD150" s="148">
        <f t="shared" si="58"/>
        <v>0</v>
      </c>
    </row>
    <row r="151" spans="1:30" ht="42.75" customHeight="1">
      <c r="A151" s="20">
        <v>46</v>
      </c>
      <c r="B151" s="23" t="s">
        <v>314</v>
      </c>
      <c r="C151" s="24" t="s">
        <v>306</v>
      </c>
      <c r="D151" s="47" t="s">
        <v>102</v>
      </c>
      <c r="E151" s="26">
        <f>F152</f>
        <v>18854.105</v>
      </c>
      <c r="F151" s="27">
        <f>F152+F153</f>
        <v>25020.554</v>
      </c>
      <c r="G151" s="27">
        <f>G152+G153</f>
        <v>0</v>
      </c>
      <c r="H151" s="27">
        <f>H152+H153</f>
        <v>0</v>
      </c>
      <c r="I151" s="28">
        <f t="shared" si="98"/>
        <v>25020.553999999996</v>
      </c>
      <c r="J151" s="27">
        <f t="shared" ref="J151:Q151" si="103">J152+J153</f>
        <v>0</v>
      </c>
      <c r="K151" s="27">
        <f t="shared" si="103"/>
        <v>0</v>
      </c>
      <c r="L151" s="27">
        <f t="shared" si="103"/>
        <v>0</v>
      </c>
      <c r="M151" s="27">
        <f t="shared" si="103"/>
        <v>77</v>
      </c>
      <c r="N151" s="85">
        <f t="shared" si="103"/>
        <v>16760.097999999998</v>
      </c>
      <c r="O151" s="85">
        <f t="shared" si="103"/>
        <v>8183.4560000000001</v>
      </c>
      <c r="P151" s="85">
        <f t="shared" si="103"/>
        <v>0</v>
      </c>
      <c r="Q151" s="85">
        <f t="shared" si="103"/>
        <v>0</v>
      </c>
      <c r="R151" s="118">
        <f t="shared" si="91"/>
        <v>0</v>
      </c>
      <c r="S151" s="85">
        <f t="shared" ref="S151:AC151" si="104">S152+S153</f>
        <v>0</v>
      </c>
      <c r="T151" s="85">
        <f t="shared" si="104"/>
        <v>0</v>
      </c>
      <c r="U151" s="85">
        <f t="shared" si="104"/>
        <v>0</v>
      </c>
      <c r="V151" s="85">
        <f t="shared" si="104"/>
        <v>0</v>
      </c>
      <c r="W151" s="85">
        <f t="shared" si="104"/>
        <v>0</v>
      </c>
      <c r="X151" s="85">
        <f t="shared" si="104"/>
        <v>0</v>
      </c>
      <c r="Y151" s="85">
        <f t="shared" si="104"/>
        <v>0</v>
      </c>
      <c r="Z151" s="85">
        <f t="shared" si="104"/>
        <v>0</v>
      </c>
      <c r="AA151" s="85">
        <f t="shared" si="104"/>
        <v>0</v>
      </c>
      <c r="AB151" s="85">
        <f t="shared" si="104"/>
        <v>0</v>
      </c>
      <c r="AC151" s="150">
        <f t="shared" si="104"/>
        <v>0</v>
      </c>
      <c r="AD151" s="146">
        <f t="shared" si="58"/>
        <v>0</v>
      </c>
    </row>
    <row r="152" spans="1:30">
      <c r="A152" s="29"/>
      <c r="B152" s="10" t="s">
        <v>31</v>
      </c>
      <c r="C152" s="33"/>
      <c r="D152" s="33"/>
      <c r="E152" s="33"/>
      <c r="F152" s="33">
        <f>H152+I152+AD152</f>
        <v>18854.105</v>
      </c>
      <c r="G152" s="33">
        <v>0</v>
      </c>
      <c r="H152" s="33">
        <v>0</v>
      </c>
      <c r="I152" s="33">
        <f t="shared" si="98"/>
        <v>18854.105</v>
      </c>
      <c r="J152" s="11">
        <v>0</v>
      </c>
      <c r="K152" s="11">
        <v>0</v>
      </c>
      <c r="L152" s="42">
        <v>0</v>
      </c>
      <c r="M152" s="12">
        <f>10.626+6.16</f>
        <v>16.786000000000001</v>
      </c>
      <c r="N152" s="87">
        <f>6637.143+4016.72</f>
        <v>10653.862999999999</v>
      </c>
      <c r="O152" s="87">
        <v>8183.4560000000001</v>
      </c>
      <c r="P152" s="91">
        <v>0</v>
      </c>
      <c r="Q152" s="91">
        <v>0</v>
      </c>
      <c r="R152" s="119">
        <f t="shared" si="91"/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  <c r="AC152" s="163">
        <v>0</v>
      </c>
      <c r="AD152" s="148">
        <f t="shared" si="58"/>
        <v>0</v>
      </c>
    </row>
    <row r="153" spans="1:30" ht="17.25" customHeight="1">
      <c r="A153" s="29"/>
      <c r="B153" s="38" t="s">
        <v>41</v>
      </c>
      <c r="C153" s="33"/>
      <c r="D153" s="33"/>
      <c r="E153" s="33"/>
      <c r="F153" s="33">
        <f>H153+I153+AD153</f>
        <v>6166.4489999999996</v>
      </c>
      <c r="G153" s="33">
        <v>0</v>
      </c>
      <c r="H153" s="33">
        <v>0</v>
      </c>
      <c r="I153" s="33">
        <f t="shared" si="98"/>
        <v>6166.4489999999996</v>
      </c>
      <c r="J153" s="11">
        <v>0</v>
      </c>
      <c r="K153" s="11">
        <v>0</v>
      </c>
      <c r="L153" s="42">
        <v>0</v>
      </c>
      <c r="M153" s="12">
        <v>60.213999999999999</v>
      </c>
      <c r="N153" s="87">
        <v>6106.2349999999997</v>
      </c>
      <c r="O153" s="87">
        <v>0</v>
      </c>
      <c r="P153" s="91">
        <v>0</v>
      </c>
      <c r="Q153" s="91">
        <v>0</v>
      </c>
      <c r="R153" s="119">
        <f t="shared" si="91"/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  <c r="AC153" s="163">
        <v>0</v>
      </c>
      <c r="AD153" s="148">
        <f t="shared" si="58"/>
        <v>0</v>
      </c>
    </row>
    <row r="154" spans="1:30" ht="39">
      <c r="A154" s="20">
        <v>47</v>
      </c>
      <c r="B154" s="37" t="s">
        <v>117</v>
      </c>
      <c r="C154" s="24" t="s">
        <v>439</v>
      </c>
      <c r="D154" s="25" t="s">
        <v>445</v>
      </c>
      <c r="E154" s="26">
        <f>F155</f>
        <v>81453.570000000007</v>
      </c>
      <c r="F154" s="27">
        <f>F155+F156+F157+F158</f>
        <v>964080.57000000007</v>
      </c>
      <c r="G154" s="28">
        <v>789229.45699999994</v>
      </c>
      <c r="H154" s="28">
        <v>918730.11699999997</v>
      </c>
      <c r="I154" s="28">
        <f t="shared" si="90"/>
        <v>28935.503000000004</v>
      </c>
      <c r="J154" s="27">
        <f>J155+J156+J157+J158</f>
        <v>129500.66</v>
      </c>
      <c r="K154" s="27">
        <f t="shared" ref="K154:Q154" si="105">K155+K156+K157+K158</f>
        <v>3398.2939999999999</v>
      </c>
      <c r="L154" s="27">
        <f t="shared" si="105"/>
        <v>7395.085</v>
      </c>
      <c r="M154" s="27">
        <f t="shared" si="105"/>
        <v>7553.6139999999996</v>
      </c>
      <c r="N154" s="85">
        <f t="shared" si="105"/>
        <v>6746</v>
      </c>
      <c r="O154" s="85">
        <f t="shared" si="105"/>
        <v>3842.51</v>
      </c>
      <c r="P154" s="85">
        <f t="shared" si="105"/>
        <v>6591.2150000000001</v>
      </c>
      <c r="Q154" s="85">
        <f t="shared" si="105"/>
        <v>6303.7349999999997</v>
      </c>
      <c r="R154" s="118">
        <f t="shared" si="91"/>
        <v>3520</v>
      </c>
      <c r="S154" s="85">
        <f>S155+S156+S157+S158</f>
        <v>1440</v>
      </c>
      <c r="T154" s="85">
        <f t="shared" ref="T154:AC154" si="106">T155+T156+T157+T158</f>
        <v>2080</v>
      </c>
      <c r="U154" s="85">
        <f t="shared" si="106"/>
        <v>0</v>
      </c>
      <c r="V154" s="85">
        <f t="shared" si="106"/>
        <v>0</v>
      </c>
      <c r="W154" s="85">
        <f t="shared" si="106"/>
        <v>0</v>
      </c>
      <c r="X154" s="85">
        <f t="shared" si="106"/>
        <v>0</v>
      </c>
      <c r="Y154" s="85">
        <f t="shared" si="106"/>
        <v>0</v>
      </c>
      <c r="Z154" s="85">
        <f t="shared" si="106"/>
        <v>0</v>
      </c>
      <c r="AA154" s="85">
        <f t="shared" si="106"/>
        <v>0</v>
      </c>
      <c r="AB154" s="85">
        <f t="shared" si="106"/>
        <v>0</v>
      </c>
      <c r="AC154" s="150">
        <f t="shared" si="106"/>
        <v>0</v>
      </c>
      <c r="AD154" s="146">
        <f t="shared" si="58"/>
        <v>16414.95</v>
      </c>
    </row>
    <row r="155" spans="1:30">
      <c r="A155" s="40"/>
      <c r="B155" s="10" t="s">
        <v>31</v>
      </c>
      <c r="C155" s="30"/>
      <c r="D155" s="31"/>
      <c r="E155" s="32"/>
      <c r="F155" s="33">
        <f>H155+I155+AD155</f>
        <v>81453.570000000007</v>
      </c>
      <c r="G155" s="34">
        <v>27252.456999999999</v>
      </c>
      <c r="H155" s="33">
        <v>36103.116999999998</v>
      </c>
      <c r="I155" s="33">
        <f t="shared" si="90"/>
        <v>28935.503000000004</v>
      </c>
      <c r="J155" s="33">
        <v>8850.66</v>
      </c>
      <c r="K155" s="33">
        <v>3398.2939999999999</v>
      </c>
      <c r="L155" s="33">
        <v>7395.085</v>
      </c>
      <c r="M155" s="35">
        <f>7553.614</f>
        <v>7553.6139999999996</v>
      </c>
      <c r="N155" s="86">
        <v>6746</v>
      </c>
      <c r="O155" s="86">
        <v>3842.51</v>
      </c>
      <c r="P155" s="87">
        <v>6591.2150000000001</v>
      </c>
      <c r="Q155" s="87">
        <v>6303.7349999999997</v>
      </c>
      <c r="R155" s="119">
        <f t="shared" si="91"/>
        <v>3520</v>
      </c>
      <c r="S155" s="87">
        <v>1440</v>
      </c>
      <c r="T155" s="87">
        <v>2080</v>
      </c>
      <c r="U155" s="87">
        <v>0</v>
      </c>
      <c r="V155" s="87">
        <v>0</v>
      </c>
      <c r="W155" s="87">
        <v>0</v>
      </c>
      <c r="X155" s="87">
        <v>0</v>
      </c>
      <c r="Y155" s="87">
        <v>0</v>
      </c>
      <c r="Z155" s="87">
        <v>0</v>
      </c>
      <c r="AA155" s="87">
        <v>0</v>
      </c>
      <c r="AB155" s="87">
        <v>0</v>
      </c>
      <c r="AC155" s="161">
        <v>0</v>
      </c>
      <c r="AD155" s="148">
        <f t="shared" si="58"/>
        <v>16414.95</v>
      </c>
    </row>
    <row r="156" spans="1:30">
      <c r="A156" s="40"/>
      <c r="B156" s="10" t="s">
        <v>32</v>
      </c>
      <c r="C156" s="30"/>
      <c r="D156" s="31"/>
      <c r="E156" s="32"/>
      <c r="F156" s="33">
        <f>H156+I156+AD156</f>
        <v>2809</v>
      </c>
      <c r="G156" s="34">
        <v>2809</v>
      </c>
      <c r="H156" s="33">
        <v>2809</v>
      </c>
      <c r="I156" s="33">
        <f t="shared" si="90"/>
        <v>0</v>
      </c>
      <c r="J156" s="33">
        <v>0</v>
      </c>
      <c r="K156" s="33">
        <v>0</v>
      </c>
      <c r="L156" s="33">
        <v>0</v>
      </c>
      <c r="M156" s="33">
        <v>0</v>
      </c>
      <c r="N156" s="87">
        <v>0</v>
      </c>
      <c r="O156" s="87">
        <v>0</v>
      </c>
      <c r="P156" s="87">
        <v>0</v>
      </c>
      <c r="Q156" s="87">
        <v>0</v>
      </c>
      <c r="R156" s="119">
        <f t="shared" si="91"/>
        <v>0</v>
      </c>
      <c r="S156" s="87">
        <v>0</v>
      </c>
      <c r="T156" s="87">
        <v>0</v>
      </c>
      <c r="U156" s="87">
        <v>0</v>
      </c>
      <c r="V156" s="87">
        <v>0</v>
      </c>
      <c r="W156" s="87">
        <v>0</v>
      </c>
      <c r="X156" s="87">
        <v>0</v>
      </c>
      <c r="Y156" s="87">
        <v>0</v>
      </c>
      <c r="Z156" s="87">
        <v>0</v>
      </c>
      <c r="AA156" s="87">
        <v>0</v>
      </c>
      <c r="AB156" s="87">
        <v>0</v>
      </c>
      <c r="AC156" s="161">
        <v>0</v>
      </c>
      <c r="AD156" s="148">
        <f t="shared" ref="AD156:AD233" si="107">P156+Q156+R156</f>
        <v>0</v>
      </c>
    </row>
    <row r="157" spans="1:30">
      <c r="A157" s="40"/>
      <c r="B157" s="10" t="s">
        <v>118</v>
      </c>
      <c r="C157" s="30"/>
      <c r="D157" s="31"/>
      <c r="E157" s="32"/>
      <c r="F157" s="33">
        <f>H157+I157+AD157</f>
        <v>13620</v>
      </c>
      <c r="G157" s="34">
        <v>8620</v>
      </c>
      <c r="H157" s="33">
        <v>13620</v>
      </c>
      <c r="I157" s="33">
        <f t="shared" si="90"/>
        <v>0</v>
      </c>
      <c r="J157" s="33">
        <v>5000</v>
      </c>
      <c r="K157" s="33">
        <v>0</v>
      </c>
      <c r="L157" s="33">
        <v>0</v>
      </c>
      <c r="M157" s="33">
        <v>0</v>
      </c>
      <c r="N157" s="87">
        <v>0</v>
      </c>
      <c r="O157" s="87">
        <v>0</v>
      </c>
      <c r="P157" s="87">
        <v>0</v>
      </c>
      <c r="Q157" s="87">
        <v>0</v>
      </c>
      <c r="R157" s="119">
        <f t="shared" si="91"/>
        <v>0</v>
      </c>
      <c r="S157" s="87">
        <v>0</v>
      </c>
      <c r="T157" s="87">
        <v>0</v>
      </c>
      <c r="U157" s="87">
        <v>0</v>
      </c>
      <c r="V157" s="87">
        <v>0</v>
      </c>
      <c r="W157" s="87">
        <v>0</v>
      </c>
      <c r="X157" s="87">
        <v>0</v>
      </c>
      <c r="Y157" s="87">
        <v>0</v>
      </c>
      <c r="Z157" s="87">
        <v>0</v>
      </c>
      <c r="AA157" s="87">
        <v>0</v>
      </c>
      <c r="AB157" s="87">
        <v>0</v>
      </c>
      <c r="AC157" s="161">
        <v>0</v>
      </c>
      <c r="AD157" s="148">
        <f t="shared" si="107"/>
        <v>0</v>
      </c>
    </row>
    <row r="158" spans="1:30">
      <c r="A158" s="40"/>
      <c r="B158" s="10" t="s">
        <v>119</v>
      </c>
      <c r="C158" s="30"/>
      <c r="D158" s="31"/>
      <c r="E158" s="32"/>
      <c r="F158" s="33">
        <f>H158+I158+AD158</f>
        <v>866198</v>
      </c>
      <c r="G158" s="34">
        <v>750548</v>
      </c>
      <c r="H158" s="33">
        <v>866198</v>
      </c>
      <c r="I158" s="33">
        <f t="shared" si="90"/>
        <v>0</v>
      </c>
      <c r="J158" s="33">
        <v>115650</v>
      </c>
      <c r="K158" s="33">
        <v>0</v>
      </c>
      <c r="L158" s="33">
        <v>0</v>
      </c>
      <c r="M158" s="33">
        <v>0</v>
      </c>
      <c r="N158" s="87">
        <v>0</v>
      </c>
      <c r="O158" s="87">
        <v>0</v>
      </c>
      <c r="P158" s="87">
        <v>0</v>
      </c>
      <c r="Q158" s="87">
        <v>0</v>
      </c>
      <c r="R158" s="119">
        <f t="shared" si="91"/>
        <v>0</v>
      </c>
      <c r="S158" s="87">
        <v>0</v>
      </c>
      <c r="T158" s="87">
        <v>0</v>
      </c>
      <c r="U158" s="87">
        <v>0</v>
      </c>
      <c r="V158" s="87">
        <v>0</v>
      </c>
      <c r="W158" s="87">
        <v>0</v>
      </c>
      <c r="X158" s="87">
        <v>0</v>
      </c>
      <c r="Y158" s="87">
        <v>0</v>
      </c>
      <c r="Z158" s="87">
        <v>0</v>
      </c>
      <c r="AA158" s="87">
        <v>0</v>
      </c>
      <c r="AB158" s="87">
        <v>0</v>
      </c>
      <c r="AC158" s="161">
        <v>0</v>
      </c>
      <c r="AD158" s="148">
        <f t="shared" si="107"/>
        <v>0</v>
      </c>
    </row>
    <row r="159" spans="1:30" ht="39">
      <c r="A159" s="20">
        <v>48</v>
      </c>
      <c r="B159" s="37" t="s">
        <v>376</v>
      </c>
      <c r="C159" s="24" t="s">
        <v>408</v>
      </c>
      <c r="D159" s="25" t="s">
        <v>377</v>
      </c>
      <c r="E159" s="26">
        <f>F160</f>
        <v>215878.04599999997</v>
      </c>
      <c r="F159" s="27">
        <f>F160+F161+F162</f>
        <v>249140.67999999996</v>
      </c>
      <c r="G159" s="28">
        <v>53438.323000000004</v>
      </c>
      <c r="H159" s="28">
        <v>59884.263000000006</v>
      </c>
      <c r="I159" s="28">
        <f t="shared" si="90"/>
        <v>95990.524000000005</v>
      </c>
      <c r="J159" s="27">
        <f>J160+J161+J162</f>
        <v>6445.94</v>
      </c>
      <c r="K159" s="27">
        <f t="shared" ref="K159:Q159" si="108">K160+K161+K162</f>
        <v>10990.474999999999</v>
      </c>
      <c r="L159" s="27">
        <f t="shared" si="108"/>
        <v>18624.382000000001</v>
      </c>
      <c r="M159" s="27">
        <f t="shared" si="108"/>
        <v>11443.359</v>
      </c>
      <c r="N159" s="85">
        <f t="shared" si="108"/>
        <v>10658.308000000001</v>
      </c>
      <c r="O159" s="85">
        <f t="shared" si="108"/>
        <v>44274</v>
      </c>
      <c r="P159" s="85">
        <f t="shared" si="108"/>
        <v>38385.892999999996</v>
      </c>
      <c r="Q159" s="85">
        <f t="shared" si="108"/>
        <v>16390</v>
      </c>
      <c r="R159" s="118">
        <f t="shared" si="91"/>
        <v>38490</v>
      </c>
      <c r="S159" s="85">
        <f>S160+S161+S162</f>
        <v>13490</v>
      </c>
      <c r="T159" s="85">
        <f t="shared" ref="T159:AC159" si="109">T160+T161+T162</f>
        <v>25000</v>
      </c>
      <c r="U159" s="85">
        <f t="shared" si="109"/>
        <v>0</v>
      </c>
      <c r="V159" s="85">
        <f t="shared" si="109"/>
        <v>0</v>
      </c>
      <c r="W159" s="85">
        <f t="shared" si="109"/>
        <v>0</v>
      </c>
      <c r="X159" s="85">
        <f t="shared" si="109"/>
        <v>0</v>
      </c>
      <c r="Y159" s="85">
        <f t="shared" si="109"/>
        <v>0</v>
      </c>
      <c r="Z159" s="85">
        <f t="shared" si="109"/>
        <v>0</v>
      </c>
      <c r="AA159" s="85">
        <f t="shared" si="109"/>
        <v>0</v>
      </c>
      <c r="AB159" s="85">
        <f t="shared" si="109"/>
        <v>0</v>
      </c>
      <c r="AC159" s="150">
        <f t="shared" si="109"/>
        <v>0</v>
      </c>
      <c r="AD159" s="146">
        <f t="shared" si="107"/>
        <v>93265.892999999996</v>
      </c>
    </row>
    <row r="160" spans="1:30">
      <c r="A160" s="40"/>
      <c r="B160" s="10" t="s">
        <v>31</v>
      </c>
      <c r="C160" s="31"/>
      <c r="D160" s="31"/>
      <c r="E160" s="32"/>
      <c r="F160" s="33">
        <f>H160+I160+AD160</f>
        <v>215878.04599999997</v>
      </c>
      <c r="G160" s="33">
        <v>26285.098000000002</v>
      </c>
      <c r="H160" s="33">
        <v>31939.445</v>
      </c>
      <c r="I160" s="33">
        <f t="shared" si="90"/>
        <v>90672.707999999999</v>
      </c>
      <c r="J160" s="33">
        <v>5654.3469999999998</v>
      </c>
      <c r="K160" s="33">
        <v>8829.9110000000001</v>
      </c>
      <c r="L160" s="33">
        <v>15467.130000000001</v>
      </c>
      <c r="M160" s="35">
        <f>11505-17.161-47.6+3.12</f>
        <v>11443.359</v>
      </c>
      <c r="N160" s="87">
        <v>10658.308000000001</v>
      </c>
      <c r="O160" s="86">
        <v>44274</v>
      </c>
      <c r="P160" s="87">
        <f>36010.893+2375</f>
        <v>38385.892999999996</v>
      </c>
      <c r="Q160" s="87">
        <v>16390</v>
      </c>
      <c r="R160" s="119">
        <f t="shared" si="91"/>
        <v>38490</v>
      </c>
      <c r="S160" s="87">
        <v>13490</v>
      </c>
      <c r="T160" s="87">
        <v>25000</v>
      </c>
      <c r="U160" s="87">
        <v>0</v>
      </c>
      <c r="V160" s="87">
        <v>0</v>
      </c>
      <c r="W160" s="87">
        <v>0</v>
      </c>
      <c r="X160" s="87">
        <v>0</v>
      </c>
      <c r="Y160" s="87">
        <v>0</v>
      </c>
      <c r="Z160" s="87">
        <v>0</v>
      </c>
      <c r="AA160" s="87">
        <v>0</v>
      </c>
      <c r="AB160" s="87">
        <v>0</v>
      </c>
      <c r="AC160" s="161">
        <v>0</v>
      </c>
      <c r="AD160" s="148">
        <f t="shared" si="107"/>
        <v>93265.892999999996</v>
      </c>
    </row>
    <row r="161" spans="1:30">
      <c r="A161" s="40"/>
      <c r="B161" s="38" t="s">
        <v>41</v>
      </c>
      <c r="C161" s="31"/>
      <c r="D161" s="31"/>
      <c r="E161" s="32"/>
      <c r="F161" s="33">
        <f>H161+I161+AD161</f>
        <v>27974.957999999999</v>
      </c>
      <c r="G161" s="33">
        <v>27153.224999999999</v>
      </c>
      <c r="H161" s="33">
        <v>27944.817999999999</v>
      </c>
      <c r="I161" s="33">
        <f t="shared" si="90"/>
        <v>30.14</v>
      </c>
      <c r="J161" s="33">
        <v>791.59299999999996</v>
      </c>
      <c r="K161" s="33">
        <v>30.14</v>
      </c>
      <c r="L161" s="33">
        <v>0</v>
      </c>
      <c r="M161" s="33">
        <v>0</v>
      </c>
      <c r="N161" s="87">
        <v>0</v>
      </c>
      <c r="O161" s="87">
        <v>0</v>
      </c>
      <c r="P161" s="87">
        <v>0</v>
      </c>
      <c r="Q161" s="87">
        <v>0</v>
      </c>
      <c r="R161" s="119">
        <f t="shared" si="91"/>
        <v>0</v>
      </c>
      <c r="S161" s="87">
        <v>0</v>
      </c>
      <c r="T161" s="87">
        <v>0</v>
      </c>
      <c r="U161" s="87">
        <v>0</v>
      </c>
      <c r="V161" s="87">
        <v>0</v>
      </c>
      <c r="W161" s="87">
        <v>0</v>
      </c>
      <c r="X161" s="87">
        <v>0</v>
      </c>
      <c r="Y161" s="87">
        <v>0</v>
      </c>
      <c r="Z161" s="87">
        <v>0</v>
      </c>
      <c r="AA161" s="87">
        <v>0</v>
      </c>
      <c r="AB161" s="87">
        <v>0</v>
      </c>
      <c r="AC161" s="161">
        <v>0</v>
      </c>
      <c r="AD161" s="148">
        <f t="shared" si="107"/>
        <v>0</v>
      </c>
    </row>
    <row r="162" spans="1:30">
      <c r="A162" s="40"/>
      <c r="B162" s="10" t="s">
        <v>120</v>
      </c>
      <c r="C162" s="31"/>
      <c r="D162" s="31"/>
      <c r="E162" s="32"/>
      <c r="F162" s="33">
        <f>H162+I162+AD162</f>
        <v>5287.6759999999995</v>
      </c>
      <c r="G162" s="33">
        <v>0</v>
      </c>
      <c r="H162" s="33">
        <v>0</v>
      </c>
      <c r="I162" s="33">
        <f t="shared" si="90"/>
        <v>5287.6759999999995</v>
      </c>
      <c r="J162" s="33">
        <v>0</v>
      </c>
      <c r="K162" s="33">
        <v>2130.424</v>
      </c>
      <c r="L162" s="33">
        <v>3157.252</v>
      </c>
      <c r="M162" s="33">
        <v>0</v>
      </c>
      <c r="N162" s="87">
        <v>0</v>
      </c>
      <c r="O162" s="87">
        <v>0</v>
      </c>
      <c r="P162" s="87">
        <v>0</v>
      </c>
      <c r="Q162" s="87">
        <v>0</v>
      </c>
      <c r="R162" s="119">
        <f t="shared" si="91"/>
        <v>0</v>
      </c>
      <c r="S162" s="87">
        <v>0</v>
      </c>
      <c r="T162" s="87">
        <v>0</v>
      </c>
      <c r="U162" s="87">
        <v>0</v>
      </c>
      <c r="V162" s="87">
        <v>0</v>
      </c>
      <c r="W162" s="87">
        <v>0</v>
      </c>
      <c r="X162" s="87">
        <v>0</v>
      </c>
      <c r="Y162" s="87">
        <v>0</v>
      </c>
      <c r="Z162" s="87">
        <v>0</v>
      </c>
      <c r="AA162" s="87">
        <v>0</v>
      </c>
      <c r="AB162" s="87">
        <v>0</v>
      </c>
      <c r="AC162" s="161">
        <v>0</v>
      </c>
      <c r="AD162" s="148">
        <f t="shared" si="107"/>
        <v>0</v>
      </c>
    </row>
    <row r="163" spans="1:30" ht="35.25" hidden="1" customHeight="1">
      <c r="A163" s="55">
        <v>49</v>
      </c>
      <c r="B163" s="139" t="s">
        <v>433</v>
      </c>
      <c r="C163" s="66" t="s">
        <v>434</v>
      </c>
      <c r="D163" s="130" t="s">
        <v>435</v>
      </c>
      <c r="E163" s="136"/>
      <c r="F163" s="69">
        <f>F164</f>
        <v>253096.23</v>
      </c>
      <c r="G163" s="59">
        <f>G164</f>
        <v>0</v>
      </c>
      <c r="H163" s="59">
        <f>H164</f>
        <v>0</v>
      </c>
      <c r="I163" s="69">
        <f t="shared" ref="I163:I164" si="110">SUM(K163:O163)</f>
        <v>0</v>
      </c>
      <c r="J163" s="59">
        <f>J164</f>
        <v>0</v>
      </c>
      <c r="K163" s="59">
        <f t="shared" ref="K163:Q163" si="111">K164</f>
        <v>0</v>
      </c>
      <c r="L163" s="59">
        <f t="shared" si="111"/>
        <v>0</v>
      </c>
      <c r="M163" s="59">
        <f t="shared" si="111"/>
        <v>0</v>
      </c>
      <c r="N163" s="137">
        <f t="shared" si="111"/>
        <v>0</v>
      </c>
      <c r="O163" s="137">
        <f t="shared" si="111"/>
        <v>0</v>
      </c>
      <c r="P163" s="88">
        <f t="shared" si="111"/>
        <v>43776.23</v>
      </c>
      <c r="Q163" s="88">
        <f t="shared" si="111"/>
        <v>36510</v>
      </c>
      <c r="R163" s="119">
        <f t="shared" ref="R163:R164" si="112">SUM(S163:AC163)</f>
        <v>172810</v>
      </c>
      <c r="S163" s="88">
        <f>S164</f>
        <v>32510</v>
      </c>
      <c r="T163" s="88">
        <f t="shared" ref="T163:AC163" si="113">T164</f>
        <v>35000</v>
      </c>
      <c r="U163" s="113">
        <f t="shared" si="113"/>
        <v>47955</v>
      </c>
      <c r="V163" s="113">
        <f t="shared" si="113"/>
        <v>57345</v>
      </c>
      <c r="W163" s="113">
        <f t="shared" si="113"/>
        <v>0</v>
      </c>
      <c r="X163" s="113">
        <f t="shared" si="113"/>
        <v>0</v>
      </c>
      <c r="Y163" s="137">
        <f t="shared" si="113"/>
        <v>0</v>
      </c>
      <c r="Z163" s="137">
        <f t="shared" si="113"/>
        <v>0</v>
      </c>
      <c r="AA163" s="137">
        <f t="shared" si="113"/>
        <v>0</v>
      </c>
      <c r="AB163" s="137">
        <f t="shared" si="113"/>
        <v>0</v>
      </c>
      <c r="AC163" s="167">
        <f t="shared" si="113"/>
        <v>0</v>
      </c>
      <c r="AD163" s="149">
        <f t="shared" ref="AD163:AD164" si="114">P163+Q163+R163</f>
        <v>253096.23</v>
      </c>
    </row>
    <row r="164" spans="1:30" hidden="1">
      <c r="A164" s="40"/>
      <c r="B164" s="10"/>
      <c r="C164" s="31"/>
      <c r="D164" s="31"/>
      <c r="E164" s="32"/>
      <c r="F164" s="33">
        <f>H164+I164+AD164</f>
        <v>253096.23</v>
      </c>
      <c r="G164" s="33">
        <v>0</v>
      </c>
      <c r="H164" s="33">
        <v>0</v>
      </c>
      <c r="I164" s="33">
        <f t="shared" si="110"/>
        <v>0</v>
      </c>
      <c r="J164" s="33">
        <v>0</v>
      </c>
      <c r="K164" s="33">
        <v>0</v>
      </c>
      <c r="L164" s="33">
        <v>0</v>
      </c>
      <c r="M164" s="33">
        <v>0</v>
      </c>
      <c r="N164" s="87">
        <v>0</v>
      </c>
      <c r="O164" s="87">
        <v>0</v>
      </c>
      <c r="P164" s="87">
        <v>43776.23</v>
      </c>
      <c r="Q164" s="87">
        <v>36510</v>
      </c>
      <c r="R164" s="119">
        <f t="shared" si="112"/>
        <v>172810</v>
      </c>
      <c r="S164" s="87">
        <v>32510</v>
      </c>
      <c r="T164" s="87">
        <v>35000</v>
      </c>
      <c r="U164" s="87">
        <v>47955</v>
      </c>
      <c r="V164" s="87">
        <v>57345</v>
      </c>
      <c r="W164" s="87">
        <v>0</v>
      </c>
      <c r="X164" s="87">
        <v>0</v>
      </c>
      <c r="Y164" s="87">
        <v>0</v>
      </c>
      <c r="Z164" s="87">
        <v>0</v>
      </c>
      <c r="AA164" s="87">
        <v>0</v>
      </c>
      <c r="AB164" s="87">
        <v>0</v>
      </c>
      <c r="AC164" s="161">
        <v>0</v>
      </c>
      <c r="AD164" s="148">
        <f t="shared" si="114"/>
        <v>253096.23</v>
      </c>
    </row>
    <row r="165" spans="1:30" ht="33.75">
      <c r="A165" s="20">
        <v>49</v>
      </c>
      <c r="B165" s="37" t="s">
        <v>121</v>
      </c>
      <c r="C165" s="24" t="s">
        <v>62</v>
      </c>
      <c r="D165" s="25" t="s">
        <v>446</v>
      </c>
      <c r="E165" s="26">
        <f>F166</f>
        <v>119599.985</v>
      </c>
      <c r="F165" s="27">
        <f>F166+F167</f>
        <v>140138.47899999999</v>
      </c>
      <c r="G165" s="27">
        <f>G166+G167</f>
        <v>167.262</v>
      </c>
      <c r="H165" s="27">
        <f>H166+H167</f>
        <v>9220.8790000000008</v>
      </c>
      <c r="I165" s="28">
        <f t="shared" si="90"/>
        <v>63255.899999999994</v>
      </c>
      <c r="J165" s="27">
        <f t="shared" ref="J165:Q165" si="115">J166+J167</f>
        <v>9053.6170000000002</v>
      </c>
      <c r="K165" s="27">
        <f t="shared" si="115"/>
        <v>12327.359999999999</v>
      </c>
      <c r="L165" s="27">
        <f t="shared" si="115"/>
        <v>16911.05</v>
      </c>
      <c r="M165" s="27">
        <f t="shared" si="115"/>
        <v>8646.9579999999987</v>
      </c>
      <c r="N165" s="85">
        <f t="shared" si="115"/>
        <v>24803.187000000002</v>
      </c>
      <c r="O165" s="85">
        <f t="shared" si="115"/>
        <v>567.34500000000003</v>
      </c>
      <c r="P165" s="88">
        <f t="shared" si="115"/>
        <v>559.36</v>
      </c>
      <c r="Q165" s="85">
        <f t="shared" si="115"/>
        <v>2.34</v>
      </c>
      <c r="R165" s="118">
        <f t="shared" si="91"/>
        <v>67100</v>
      </c>
      <c r="S165" s="85">
        <f>S166+S167</f>
        <v>0</v>
      </c>
      <c r="T165" s="85">
        <f t="shared" ref="T165:AC165" si="116">T166+T167</f>
        <v>0</v>
      </c>
      <c r="U165" s="85">
        <f t="shared" si="116"/>
        <v>17100</v>
      </c>
      <c r="V165" s="85">
        <f t="shared" si="116"/>
        <v>0</v>
      </c>
      <c r="W165" s="85">
        <f t="shared" si="116"/>
        <v>0</v>
      </c>
      <c r="X165" s="85">
        <f t="shared" si="116"/>
        <v>50000</v>
      </c>
      <c r="Y165" s="85">
        <f t="shared" si="116"/>
        <v>0</v>
      </c>
      <c r="Z165" s="85">
        <f t="shared" si="116"/>
        <v>0</v>
      </c>
      <c r="AA165" s="85">
        <f t="shared" si="116"/>
        <v>0</v>
      </c>
      <c r="AB165" s="85">
        <f t="shared" si="116"/>
        <v>0</v>
      </c>
      <c r="AC165" s="150">
        <f t="shared" si="116"/>
        <v>0</v>
      </c>
      <c r="AD165" s="146">
        <f t="shared" si="107"/>
        <v>67661.7</v>
      </c>
    </row>
    <row r="166" spans="1:30">
      <c r="A166" s="40"/>
      <c r="B166" s="10" t="s">
        <v>31</v>
      </c>
      <c r="C166" s="30"/>
      <c r="D166" s="31"/>
      <c r="E166" s="32"/>
      <c r="F166" s="33">
        <f>H166+I166+AD166</f>
        <v>119599.985</v>
      </c>
      <c r="G166" s="34">
        <v>167.262</v>
      </c>
      <c r="H166" s="33">
        <v>7057.1239999999998</v>
      </c>
      <c r="I166" s="33">
        <f t="shared" si="90"/>
        <v>44881.161</v>
      </c>
      <c r="J166" s="33">
        <v>6889.8620000000001</v>
      </c>
      <c r="K166" s="33">
        <v>11139.670999999998</v>
      </c>
      <c r="L166" s="33">
        <v>4814</v>
      </c>
      <c r="M166" s="35">
        <v>5456.9579999999996</v>
      </c>
      <c r="N166" s="86">
        <v>22903.187000000002</v>
      </c>
      <c r="O166" s="86">
        <v>567.34500000000003</v>
      </c>
      <c r="P166" s="86">
        <v>559.36</v>
      </c>
      <c r="Q166" s="86">
        <v>2.34</v>
      </c>
      <c r="R166" s="119">
        <f t="shared" si="91"/>
        <v>67100</v>
      </c>
      <c r="S166" s="86">
        <v>0</v>
      </c>
      <c r="T166" s="87">
        <v>0</v>
      </c>
      <c r="U166" s="87">
        <v>17100</v>
      </c>
      <c r="V166" s="87">
        <v>0</v>
      </c>
      <c r="W166" s="87">
        <v>0</v>
      </c>
      <c r="X166" s="87">
        <v>50000</v>
      </c>
      <c r="Y166" s="87">
        <v>0</v>
      </c>
      <c r="Z166" s="87">
        <v>0</v>
      </c>
      <c r="AA166" s="87">
        <v>0</v>
      </c>
      <c r="AB166" s="87">
        <v>0</v>
      </c>
      <c r="AC166" s="161">
        <v>0</v>
      </c>
      <c r="AD166" s="148">
        <f t="shared" si="107"/>
        <v>67661.7</v>
      </c>
    </row>
    <row r="167" spans="1:30">
      <c r="A167" s="40"/>
      <c r="B167" s="10" t="s">
        <v>122</v>
      </c>
      <c r="C167" s="30"/>
      <c r="D167" s="31"/>
      <c r="E167" s="32"/>
      <c r="F167" s="33">
        <f>H167+I167+AD167</f>
        <v>20538.494000000002</v>
      </c>
      <c r="G167" s="34">
        <v>0</v>
      </c>
      <c r="H167" s="33">
        <v>2163.7550000000001</v>
      </c>
      <c r="I167" s="33">
        <f t="shared" si="90"/>
        <v>18374.739000000001</v>
      </c>
      <c r="J167" s="33">
        <v>2163.7550000000001</v>
      </c>
      <c r="K167" s="33">
        <v>1187.6890000000001</v>
      </c>
      <c r="L167" s="33">
        <v>12097.05</v>
      </c>
      <c r="M167" s="33">
        <v>3190</v>
      </c>
      <c r="N167" s="86">
        <v>1900</v>
      </c>
      <c r="O167" s="87">
        <v>0</v>
      </c>
      <c r="P167" s="87">
        <v>0</v>
      </c>
      <c r="Q167" s="87">
        <v>0</v>
      </c>
      <c r="R167" s="119">
        <f t="shared" si="91"/>
        <v>0</v>
      </c>
      <c r="S167" s="87">
        <v>0</v>
      </c>
      <c r="T167" s="87">
        <v>0</v>
      </c>
      <c r="U167" s="87">
        <v>0</v>
      </c>
      <c r="V167" s="87">
        <v>0</v>
      </c>
      <c r="W167" s="87">
        <v>0</v>
      </c>
      <c r="X167" s="87">
        <v>0</v>
      </c>
      <c r="Y167" s="87">
        <v>0</v>
      </c>
      <c r="Z167" s="87">
        <v>0</v>
      </c>
      <c r="AA167" s="87">
        <v>0</v>
      </c>
      <c r="AB167" s="87">
        <v>0</v>
      </c>
      <c r="AC167" s="161">
        <v>0</v>
      </c>
      <c r="AD167" s="148">
        <f t="shared" si="107"/>
        <v>0</v>
      </c>
    </row>
    <row r="168" spans="1:30" ht="33.75">
      <c r="A168" s="20">
        <v>50</v>
      </c>
      <c r="B168" s="37" t="s">
        <v>123</v>
      </c>
      <c r="C168" s="24" t="s">
        <v>124</v>
      </c>
      <c r="D168" s="25" t="s">
        <v>125</v>
      </c>
      <c r="E168" s="26">
        <f>F169</f>
        <v>124.22199999999999</v>
      </c>
      <c r="F168" s="27">
        <f>F169+F170</f>
        <v>254.22199999999998</v>
      </c>
      <c r="G168" s="27">
        <f>G169+G170</f>
        <v>136.60400000000001</v>
      </c>
      <c r="H168" s="27">
        <f>H169+H170</f>
        <v>224.22199999999998</v>
      </c>
      <c r="I168" s="28">
        <f t="shared" si="90"/>
        <v>30</v>
      </c>
      <c r="J168" s="27">
        <f t="shared" ref="J168:Q168" si="117">J169+J170</f>
        <v>87.617999999999995</v>
      </c>
      <c r="K168" s="27">
        <f t="shared" si="117"/>
        <v>30</v>
      </c>
      <c r="L168" s="27">
        <f t="shared" si="117"/>
        <v>0</v>
      </c>
      <c r="M168" s="27">
        <f t="shared" si="117"/>
        <v>0</v>
      </c>
      <c r="N168" s="85">
        <f t="shared" si="117"/>
        <v>0</v>
      </c>
      <c r="O168" s="85">
        <f t="shared" si="117"/>
        <v>0</v>
      </c>
      <c r="P168" s="85">
        <f t="shared" si="117"/>
        <v>0</v>
      </c>
      <c r="Q168" s="85">
        <f t="shared" si="117"/>
        <v>0</v>
      </c>
      <c r="R168" s="118">
        <f t="shared" si="91"/>
        <v>0</v>
      </c>
      <c r="S168" s="85">
        <f>S169+S170</f>
        <v>0</v>
      </c>
      <c r="T168" s="85">
        <f t="shared" ref="T168:AC168" si="118">T169+T170</f>
        <v>0</v>
      </c>
      <c r="U168" s="85">
        <f t="shared" si="118"/>
        <v>0</v>
      </c>
      <c r="V168" s="85">
        <f t="shared" si="118"/>
        <v>0</v>
      </c>
      <c r="W168" s="85">
        <f t="shared" si="118"/>
        <v>0</v>
      </c>
      <c r="X168" s="85">
        <f t="shared" si="118"/>
        <v>0</v>
      </c>
      <c r="Y168" s="85">
        <f t="shared" si="118"/>
        <v>0</v>
      </c>
      <c r="Z168" s="85">
        <f t="shared" si="118"/>
        <v>0</v>
      </c>
      <c r="AA168" s="85">
        <f t="shared" si="118"/>
        <v>0</v>
      </c>
      <c r="AB168" s="85">
        <f t="shared" si="118"/>
        <v>0</v>
      </c>
      <c r="AC168" s="150">
        <f t="shared" si="118"/>
        <v>0</v>
      </c>
      <c r="AD168" s="146">
        <f t="shared" si="107"/>
        <v>0</v>
      </c>
    </row>
    <row r="169" spans="1:30">
      <c r="A169" s="40"/>
      <c r="B169" s="10" t="s">
        <v>31</v>
      </c>
      <c r="C169" s="30"/>
      <c r="D169" s="31"/>
      <c r="E169" s="32"/>
      <c r="F169" s="33">
        <f>H169+I169+AD169</f>
        <v>124.22199999999999</v>
      </c>
      <c r="G169" s="34">
        <v>6.6040000000000001</v>
      </c>
      <c r="H169" s="33">
        <v>94.221999999999994</v>
      </c>
      <c r="I169" s="33">
        <f t="shared" si="90"/>
        <v>30</v>
      </c>
      <c r="J169" s="33">
        <v>87.617999999999995</v>
      </c>
      <c r="K169" s="33">
        <v>30</v>
      </c>
      <c r="L169" s="33">
        <v>0</v>
      </c>
      <c r="M169" s="33">
        <v>0</v>
      </c>
      <c r="N169" s="87">
        <v>0</v>
      </c>
      <c r="O169" s="87">
        <v>0</v>
      </c>
      <c r="P169" s="87">
        <v>0</v>
      </c>
      <c r="Q169" s="87">
        <v>0</v>
      </c>
      <c r="R169" s="119">
        <f t="shared" si="91"/>
        <v>0</v>
      </c>
      <c r="S169" s="87">
        <v>0</v>
      </c>
      <c r="T169" s="87">
        <v>0</v>
      </c>
      <c r="U169" s="87">
        <v>0</v>
      </c>
      <c r="V169" s="87">
        <v>0</v>
      </c>
      <c r="W169" s="87">
        <v>0</v>
      </c>
      <c r="X169" s="87">
        <v>0</v>
      </c>
      <c r="Y169" s="87">
        <v>0</v>
      </c>
      <c r="Z169" s="87">
        <v>0</v>
      </c>
      <c r="AA169" s="87">
        <v>0</v>
      </c>
      <c r="AB169" s="87">
        <v>0</v>
      </c>
      <c r="AC169" s="161">
        <v>0</v>
      </c>
      <c r="AD169" s="148">
        <f t="shared" si="107"/>
        <v>0</v>
      </c>
    </row>
    <row r="170" spans="1:30">
      <c r="A170" s="40"/>
      <c r="B170" s="10" t="s">
        <v>126</v>
      </c>
      <c r="C170" s="30"/>
      <c r="D170" s="31"/>
      <c r="E170" s="32"/>
      <c r="F170" s="33">
        <f>H170+I170+AD170</f>
        <v>130</v>
      </c>
      <c r="G170" s="34">
        <v>130</v>
      </c>
      <c r="H170" s="33">
        <v>130</v>
      </c>
      <c r="I170" s="33">
        <f t="shared" si="90"/>
        <v>0</v>
      </c>
      <c r="J170" s="33">
        <v>0</v>
      </c>
      <c r="K170" s="33">
        <v>0</v>
      </c>
      <c r="L170" s="33">
        <v>0</v>
      </c>
      <c r="M170" s="33">
        <v>0</v>
      </c>
      <c r="N170" s="87">
        <v>0</v>
      </c>
      <c r="O170" s="87">
        <v>0</v>
      </c>
      <c r="P170" s="87">
        <v>0</v>
      </c>
      <c r="Q170" s="87">
        <v>0</v>
      </c>
      <c r="R170" s="119">
        <f t="shared" si="91"/>
        <v>0</v>
      </c>
      <c r="S170" s="87">
        <v>0</v>
      </c>
      <c r="T170" s="87">
        <v>0</v>
      </c>
      <c r="U170" s="87">
        <v>0</v>
      </c>
      <c r="V170" s="87">
        <v>0</v>
      </c>
      <c r="W170" s="87">
        <v>0</v>
      </c>
      <c r="X170" s="87">
        <v>0</v>
      </c>
      <c r="Y170" s="87">
        <v>0</v>
      </c>
      <c r="Z170" s="87">
        <v>0</v>
      </c>
      <c r="AA170" s="87">
        <v>0</v>
      </c>
      <c r="AB170" s="87">
        <v>0</v>
      </c>
      <c r="AC170" s="161">
        <v>0</v>
      </c>
      <c r="AD170" s="148">
        <f t="shared" si="107"/>
        <v>0</v>
      </c>
    </row>
    <row r="171" spans="1:30" ht="29.25">
      <c r="A171" s="51">
        <v>51</v>
      </c>
      <c r="B171" s="37" t="s">
        <v>127</v>
      </c>
      <c r="C171" s="24" t="s">
        <v>399</v>
      </c>
      <c r="D171" s="47" t="s">
        <v>92</v>
      </c>
      <c r="E171" s="26">
        <f>F172</f>
        <v>7792.9870000000001</v>
      </c>
      <c r="F171" s="27">
        <f>F172+F173</f>
        <v>20269.357</v>
      </c>
      <c r="G171" s="27">
        <f>G172+G173</f>
        <v>0</v>
      </c>
      <c r="H171" s="27">
        <f>H172+H173</f>
        <v>0</v>
      </c>
      <c r="I171" s="28">
        <f t="shared" si="90"/>
        <v>20269.357</v>
      </c>
      <c r="J171" s="27">
        <f t="shared" ref="J171:Q171" si="119">J172+J173</f>
        <v>0</v>
      </c>
      <c r="K171" s="27">
        <f t="shared" si="119"/>
        <v>920</v>
      </c>
      <c r="L171" s="27">
        <f t="shared" si="119"/>
        <v>1413</v>
      </c>
      <c r="M171" s="27">
        <f t="shared" si="119"/>
        <v>1219.4159999999999</v>
      </c>
      <c r="N171" s="85">
        <f t="shared" si="119"/>
        <v>8026.5709999999999</v>
      </c>
      <c r="O171" s="85">
        <f t="shared" si="119"/>
        <v>8690.369999999999</v>
      </c>
      <c r="P171" s="85">
        <f t="shared" si="119"/>
        <v>0</v>
      </c>
      <c r="Q171" s="85">
        <f t="shared" si="119"/>
        <v>0</v>
      </c>
      <c r="R171" s="118">
        <f t="shared" si="91"/>
        <v>0</v>
      </c>
      <c r="S171" s="85">
        <f>S172+S173</f>
        <v>0</v>
      </c>
      <c r="T171" s="85">
        <f t="shared" ref="T171:AC171" si="120">T172+T173</f>
        <v>0</v>
      </c>
      <c r="U171" s="85">
        <f t="shared" si="120"/>
        <v>0</v>
      </c>
      <c r="V171" s="85">
        <f t="shared" si="120"/>
        <v>0</v>
      </c>
      <c r="W171" s="85">
        <f t="shared" si="120"/>
        <v>0</v>
      </c>
      <c r="X171" s="85">
        <f t="shared" si="120"/>
        <v>0</v>
      </c>
      <c r="Y171" s="85">
        <f t="shared" si="120"/>
        <v>0</v>
      </c>
      <c r="Z171" s="85">
        <f t="shared" si="120"/>
        <v>0</v>
      </c>
      <c r="AA171" s="85">
        <f t="shared" si="120"/>
        <v>0</v>
      </c>
      <c r="AB171" s="85">
        <f t="shared" si="120"/>
        <v>0</v>
      </c>
      <c r="AC171" s="150">
        <f t="shared" si="120"/>
        <v>0</v>
      </c>
      <c r="AD171" s="146">
        <f t="shared" si="107"/>
        <v>0</v>
      </c>
    </row>
    <row r="172" spans="1:30">
      <c r="A172" s="40"/>
      <c r="B172" s="10" t="s">
        <v>31</v>
      </c>
      <c r="C172" s="30"/>
      <c r="D172" s="31"/>
      <c r="E172" s="32"/>
      <c r="F172" s="33">
        <f>H172+I172+AD172</f>
        <v>7792.9870000000001</v>
      </c>
      <c r="G172" s="34">
        <v>0</v>
      </c>
      <c r="H172" s="33">
        <v>0</v>
      </c>
      <c r="I172" s="33">
        <f t="shared" si="90"/>
        <v>7792.9870000000001</v>
      </c>
      <c r="J172" s="33">
        <v>0</v>
      </c>
      <c r="K172" s="33">
        <v>920</v>
      </c>
      <c r="L172" s="33">
        <v>1413</v>
      </c>
      <c r="M172" s="35">
        <f>1436-445.764-15.82</f>
        <v>974.41599999999994</v>
      </c>
      <c r="N172" s="87">
        <f>2651.967-326.65</f>
        <v>2325.317</v>
      </c>
      <c r="O172" s="87">
        <f>24.029+1820.152+316.073</f>
        <v>2160.2539999999999</v>
      </c>
      <c r="P172" s="87">
        <v>0</v>
      </c>
      <c r="Q172" s="87">
        <v>0</v>
      </c>
      <c r="R172" s="119">
        <f t="shared" si="91"/>
        <v>0</v>
      </c>
      <c r="S172" s="87">
        <v>0</v>
      </c>
      <c r="T172" s="87">
        <v>0</v>
      </c>
      <c r="U172" s="87">
        <v>0</v>
      </c>
      <c r="V172" s="87">
        <v>0</v>
      </c>
      <c r="W172" s="87">
        <v>0</v>
      </c>
      <c r="X172" s="87">
        <v>0</v>
      </c>
      <c r="Y172" s="87">
        <v>0</v>
      </c>
      <c r="Z172" s="87">
        <v>0</v>
      </c>
      <c r="AA172" s="87">
        <v>0</v>
      </c>
      <c r="AB172" s="87">
        <v>0</v>
      </c>
      <c r="AC172" s="161">
        <v>0</v>
      </c>
      <c r="AD172" s="148">
        <f t="shared" si="107"/>
        <v>0</v>
      </c>
    </row>
    <row r="173" spans="1:30">
      <c r="A173" s="40"/>
      <c r="B173" s="38" t="s">
        <v>41</v>
      </c>
      <c r="C173" s="30"/>
      <c r="D173" s="31"/>
      <c r="E173" s="32"/>
      <c r="F173" s="33">
        <f>H173+I173+AD173</f>
        <v>12476.369999999999</v>
      </c>
      <c r="G173" s="34">
        <v>0</v>
      </c>
      <c r="H173" s="33">
        <v>0</v>
      </c>
      <c r="I173" s="33">
        <f t="shared" si="90"/>
        <v>12476.369999999999</v>
      </c>
      <c r="J173" s="33">
        <v>0</v>
      </c>
      <c r="K173" s="33">
        <v>0</v>
      </c>
      <c r="L173" s="33">
        <v>0</v>
      </c>
      <c r="M173" s="33">
        <v>245</v>
      </c>
      <c r="N173" s="87">
        <f>5864.073-162.819</f>
        <v>5701.2539999999999</v>
      </c>
      <c r="O173" s="87">
        <f>501.063+6029.053</f>
        <v>6530.116</v>
      </c>
      <c r="P173" s="87">
        <v>0</v>
      </c>
      <c r="Q173" s="87">
        <v>0</v>
      </c>
      <c r="R173" s="119">
        <f t="shared" si="91"/>
        <v>0</v>
      </c>
      <c r="S173" s="87">
        <v>0</v>
      </c>
      <c r="T173" s="87">
        <v>0</v>
      </c>
      <c r="U173" s="87">
        <v>0</v>
      </c>
      <c r="V173" s="87">
        <v>0</v>
      </c>
      <c r="W173" s="87">
        <v>0</v>
      </c>
      <c r="X173" s="87">
        <v>0</v>
      </c>
      <c r="Y173" s="87">
        <v>0</v>
      </c>
      <c r="Z173" s="87">
        <v>0</v>
      </c>
      <c r="AA173" s="87">
        <v>0</v>
      </c>
      <c r="AB173" s="87">
        <v>0</v>
      </c>
      <c r="AC173" s="161">
        <v>0</v>
      </c>
      <c r="AD173" s="148">
        <f t="shared" si="107"/>
        <v>0</v>
      </c>
    </row>
    <row r="174" spans="1:30" ht="52.5" customHeight="1">
      <c r="A174" s="51">
        <v>52</v>
      </c>
      <c r="B174" s="37" t="s">
        <v>356</v>
      </c>
      <c r="C174" s="24" t="s">
        <v>437</v>
      </c>
      <c r="D174" s="47" t="s">
        <v>151</v>
      </c>
      <c r="E174" s="26">
        <f>F175</f>
        <v>1022.351</v>
      </c>
      <c r="F174" s="27">
        <f>F175+F176</f>
        <v>2586.268</v>
      </c>
      <c r="G174" s="27">
        <f>G175+G176</f>
        <v>0</v>
      </c>
      <c r="H174" s="27">
        <f>H175+H176</f>
        <v>0</v>
      </c>
      <c r="I174" s="28">
        <f t="shared" si="90"/>
        <v>2586.268</v>
      </c>
      <c r="J174" s="27">
        <f t="shared" ref="J174:Q174" si="121">J175+J176</f>
        <v>0</v>
      </c>
      <c r="K174" s="27">
        <f t="shared" si="121"/>
        <v>0</v>
      </c>
      <c r="L174" s="27">
        <f t="shared" si="121"/>
        <v>0</v>
      </c>
      <c r="M174" s="27">
        <f t="shared" si="121"/>
        <v>0</v>
      </c>
      <c r="N174" s="85">
        <f t="shared" si="121"/>
        <v>0</v>
      </c>
      <c r="O174" s="85">
        <f t="shared" si="121"/>
        <v>2586.268</v>
      </c>
      <c r="P174" s="85">
        <f t="shared" si="121"/>
        <v>0</v>
      </c>
      <c r="Q174" s="85">
        <f t="shared" si="121"/>
        <v>0</v>
      </c>
      <c r="R174" s="118">
        <f t="shared" si="91"/>
        <v>0</v>
      </c>
      <c r="S174" s="85">
        <f>S175+S176</f>
        <v>0</v>
      </c>
      <c r="T174" s="85">
        <f t="shared" ref="T174:AC174" si="122">T175+T176</f>
        <v>0</v>
      </c>
      <c r="U174" s="85">
        <f t="shared" si="122"/>
        <v>0</v>
      </c>
      <c r="V174" s="85">
        <f t="shared" si="122"/>
        <v>0</v>
      </c>
      <c r="W174" s="85">
        <f t="shared" si="122"/>
        <v>0</v>
      </c>
      <c r="X174" s="85">
        <f t="shared" si="122"/>
        <v>0</v>
      </c>
      <c r="Y174" s="85">
        <f t="shared" si="122"/>
        <v>0</v>
      </c>
      <c r="Z174" s="85">
        <f t="shared" si="122"/>
        <v>0</v>
      </c>
      <c r="AA174" s="85">
        <f t="shared" si="122"/>
        <v>0</v>
      </c>
      <c r="AB174" s="85">
        <f t="shared" si="122"/>
        <v>0</v>
      </c>
      <c r="AC174" s="150">
        <f t="shared" si="122"/>
        <v>0</v>
      </c>
      <c r="AD174" s="146">
        <f t="shared" si="107"/>
        <v>0</v>
      </c>
    </row>
    <row r="175" spans="1:30">
      <c r="A175" s="40"/>
      <c r="B175" s="10" t="s">
        <v>31</v>
      </c>
      <c r="C175" s="30"/>
      <c r="D175" s="31"/>
      <c r="E175" s="32"/>
      <c r="F175" s="33">
        <f>H175+I175+AD175</f>
        <v>1022.351</v>
      </c>
      <c r="G175" s="34">
        <v>0</v>
      </c>
      <c r="H175" s="33">
        <v>0</v>
      </c>
      <c r="I175" s="33">
        <f t="shared" si="90"/>
        <v>1022.351</v>
      </c>
      <c r="J175" s="33">
        <v>0</v>
      </c>
      <c r="K175" s="33">
        <v>0</v>
      </c>
      <c r="L175" s="33">
        <v>0</v>
      </c>
      <c r="M175" s="35">
        <v>0</v>
      </c>
      <c r="N175" s="87">
        <v>0</v>
      </c>
      <c r="O175" s="87">
        <f>464.714+108.691+395.321+53.625</f>
        <v>1022.351</v>
      </c>
      <c r="P175" s="87">
        <v>0</v>
      </c>
      <c r="Q175" s="87">
        <v>0</v>
      </c>
      <c r="R175" s="119">
        <f t="shared" si="91"/>
        <v>0</v>
      </c>
      <c r="S175" s="87">
        <v>0</v>
      </c>
      <c r="T175" s="87">
        <v>0</v>
      </c>
      <c r="U175" s="87">
        <v>0</v>
      </c>
      <c r="V175" s="87">
        <v>0</v>
      </c>
      <c r="W175" s="87">
        <v>0</v>
      </c>
      <c r="X175" s="87">
        <v>0</v>
      </c>
      <c r="Y175" s="87">
        <v>0</v>
      </c>
      <c r="Z175" s="87">
        <v>0</v>
      </c>
      <c r="AA175" s="87">
        <v>0</v>
      </c>
      <c r="AB175" s="87">
        <v>0</v>
      </c>
      <c r="AC175" s="161">
        <v>0</v>
      </c>
      <c r="AD175" s="152">
        <f t="shared" si="107"/>
        <v>0</v>
      </c>
    </row>
    <row r="176" spans="1:30">
      <c r="A176" s="40"/>
      <c r="B176" s="38" t="s">
        <v>41</v>
      </c>
      <c r="C176" s="30"/>
      <c r="D176" s="31"/>
      <c r="E176" s="32"/>
      <c r="F176" s="33">
        <f>H176+I176+AD176</f>
        <v>1563.9170000000001</v>
      </c>
      <c r="G176" s="34">
        <v>0</v>
      </c>
      <c r="H176" s="33">
        <v>0</v>
      </c>
      <c r="I176" s="33">
        <f t="shared" si="90"/>
        <v>1563.9170000000001</v>
      </c>
      <c r="J176" s="33">
        <v>0</v>
      </c>
      <c r="K176" s="33">
        <v>0</v>
      </c>
      <c r="L176" s="33">
        <v>0</v>
      </c>
      <c r="M176" s="33">
        <v>0</v>
      </c>
      <c r="N176" s="87">
        <v>0</v>
      </c>
      <c r="O176" s="87">
        <f>307.968+1255.949</f>
        <v>1563.9170000000001</v>
      </c>
      <c r="P176" s="87">
        <v>0</v>
      </c>
      <c r="Q176" s="87">
        <v>0</v>
      </c>
      <c r="R176" s="119">
        <f t="shared" si="91"/>
        <v>0</v>
      </c>
      <c r="S176" s="87">
        <v>0</v>
      </c>
      <c r="T176" s="87">
        <v>0</v>
      </c>
      <c r="U176" s="87">
        <v>0</v>
      </c>
      <c r="V176" s="87">
        <v>0</v>
      </c>
      <c r="W176" s="87">
        <v>0</v>
      </c>
      <c r="X176" s="87">
        <v>0</v>
      </c>
      <c r="Y176" s="87">
        <v>0</v>
      </c>
      <c r="Z176" s="87">
        <v>0</v>
      </c>
      <c r="AA176" s="87">
        <v>0</v>
      </c>
      <c r="AB176" s="87">
        <v>0</v>
      </c>
      <c r="AC176" s="161">
        <v>0</v>
      </c>
      <c r="AD176" s="152">
        <f t="shared" si="107"/>
        <v>0</v>
      </c>
    </row>
    <row r="177" spans="1:30" ht="45">
      <c r="A177" s="51">
        <v>53</v>
      </c>
      <c r="B177" s="37" t="s">
        <v>357</v>
      </c>
      <c r="C177" s="24" t="s">
        <v>437</v>
      </c>
      <c r="D177" s="47" t="s">
        <v>151</v>
      </c>
      <c r="E177" s="26">
        <f>F178</f>
        <v>1371.443</v>
      </c>
      <c r="F177" s="27">
        <f>F178+F179</f>
        <v>4435.8519999999999</v>
      </c>
      <c r="G177" s="27">
        <f>G178+G179</f>
        <v>0</v>
      </c>
      <c r="H177" s="27">
        <f>H178+H179</f>
        <v>0</v>
      </c>
      <c r="I177" s="28">
        <f t="shared" ref="I177:I188" si="123">SUM(K177:O177)</f>
        <v>4435.8519999999999</v>
      </c>
      <c r="J177" s="27">
        <f t="shared" ref="J177:Q177" si="124">J178+J179</f>
        <v>0</v>
      </c>
      <c r="K177" s="27">
        <f t="shared" si="124"/>
        <v>0</v>
      </c>
      <c r="L177" s="27">
        <f t="shared" si="124"/>
        <v>0</v>
      </c>
      <c r="M177" s="27">
        <f t="shared" si="124"/>
        <v>0</v>
      </c>
      <c r="N177" s="85">
        <f t="shared" si="124"/>
        <v>2381.8879999999999</v>
      </c>
      <c r="O177" s="85">
        <f t="shared" si="124"/>
        <v>2053.9639999999999</v>
      </c>
      <c r="P177" s="85">
        <f t="shared" si="124"/>
        <v>0</v>
      </c>
      <c r="Q177" s="85">
        <f t="shared" si="124"/>
        <v>0</v>
      </c>
      <c r="R177" s="118">
        <f t="shared" ref="R177:R185" si="125">SUM(S177:AC177)</f>
        <v>0</v>
      </c>
      <c r="S177" s="85">
        <f>S178+S179</f>
        <v>0</v>
      </c>
      <c r="T177" s="85">
        <f t="shared" ref="T177:AC177" si="126">T178+T179</f>
        <v>0</v>
      </c>
      <c r="U177" s="85">
        <f t="shared" si="126"/>
        <v>0</v>
      </c>
      <c r="V177" s="85">
        <f t="shared" si="126"/>
        <v>0</v>
      </c>
      <c r="W177" s="85">
        <f t="shared" si="126"/>
        <v>0</v>
      </c>
      <c r="X177" s="85">
        <f t="shared" si="126"/>
        <v>0</v>
      </c>
      <c r="Y177" s="85">
        <f t="shared" si="126"/>
        <v>0</v>
      </c>
      <c r="Z177" s="85">
        <f t="shared" si="126"/>
        <v>0</v>
      </c>
      <c r="AA177" s="85">
        <f t="shared" si="126"/>
        <v>0</v>
      </c>
      <c r="AB177" s="85">
        <f t="shared" si="126"/>
        <v>0</v>
      </c>
      <c r="AC177" s="150">
        <f t="shared" si="126"/>
        <v>0</v>
      </c>
      <c r="AD177" s="146">
        <f t="shared" si="107"/>
        <v>0</v>
      </c>
    </row>
    <row r="178" spans="1:30">
      <c r="A178" s="40"/>
      <c r="B178" s="10" t="s">
        <v>31</v>
      </c>
      <c r="C178" s="30"/>
      <c r="D178" s="31"/>
      <c r="E178" s="32"/>
      <c r="F178" s="33">
        <f>H178+I178+AD178</f>
        <v>1371.443</v>
      </c>
      <c r="G178" s="34">
        <v>0</v>
      </c>
      <c r="H178" s="33">
        <v>0</v>
      </c>
      <c r="I178" s="33">
        <f t="shared" si="123"/>
        <v>1371.443</v>
      </c>
      <c r="J178" s="33">
        <v>0</v>
      </c>
      <c r="K178" s="33">
        <v>0</v>
      </c>
      <c r="L178" s="33">
        <v>0</v>
      </c>
      <c r="M178" s="35">
        <v>0</v>
      </c>
      <c r="N178" s="87">
        <f>315.159+625.677</f>
        <v>940.83600000000001</v>
      </c>
      <c r="O178" s="87">
        <v>430.60700000000003</v>
      </c>
      <c r="P178" s="87">
        <v>0</v>
      </c>
      <c r="Q178" s="87">
        <v>0</v>
      </c>
      <c r="R178" s="119">
        <f t="shared" si="125"/>
        <v>0</v>
      </c>
      <c r="S178" s="87">
        <v>0</v>
      </c>
      <c r="T178" s="87">
        <v>0</v>
      </c>
      <c r="U178" s="87">
        <v>0</v>
      </c>
      <c r="V178" s="87">
        <v>0</v>
      </c>
      <c r="W178" s="87">
        <v>0</v>
      </c>
      <c r="X178" s="87">
        <v>0</v>
      </c>
      <c r="Y178" s="87">
        <v>0</v>
      </c>
      <c r="Z178" s="87">
        <v>0</v>
      </c>
      <c r="AA178" s="87">
        <v>0</v>
      </c>
      <c r="AB178" s="87">
        <v>0</v>
      </c>
      <c r="AC178" s="161">
        <v>0</v>
      </c>
      <c r="AD178" s="148">
        <f t="shared" si="107"/>
        <v>0</v>
      </c>
    </row>
    <row r="179" spans="1:30">
      <c r="A179" s="40"/>
      <c r="B179" s="38" t="s">
        <v>41</v>
      </c>
      <c r="C179" s="30"/>
      <c r="D179" s="31"/>
      <c r="E179" s="32"/>
      <c r="F179" s="33">
        <f>H179+I179+AD179</f>
        <v>3064.4089999999997</v>
      </c>
      <c r="G179" s="34">
        <v>0</v>
      </c>
      <c r="H179" s="33">
        <v>0</v>
      </c>
      <c r="I179" s="33">
        <f t="shared" si="123"/>
        <v>3064.4089999999997</v>
      </c>
      <c r="J179" s="33">
        <v>0</v>
      </c>
      <c r="K179" s="33">
        <v>0</v>
      </c>
      <c r="L179" s="33">
        <v>0</v>
      </c>
      <c r="M179" s="33">
        <v>0</v>
      </c>
      <c r="N179" s="87">
        <v>1441.0519999999999</v>
      </c>
      <c r="O179" s="87">
        <v>1623.357</v>
      </c>
      <c r="P179" s="87">
        <v>0</v>
      </c>
      <c r="Q179" s="87">
        <v>0</v>
      </c>
      <c r="R179" s="119">
        <f t="shared" si="125"/>
        <v>0</v>
      </c>
      <c r="S179" s="87">
        <v>0</v>
      </c>
      <c r="T179" s="87">
        <v>0</v>
      </c>
      <c r="U179" s="87">
        <v>0</v>
      </c>
      <c r="V179" s="87">
        <v>0</v>
      </c>
      <c r="W179" s="87">
        <v>0</v>
      </c>
      <c r="X179" s="87">
        <v>0</v>
      </c>
      <c r="Y179" s="87">
        <v>0</v>
      </c>
      <c r="Z179" s="87">
        <v>0</v>
      </c>
      <c r="AA179" s="87">
        <v>0</v>
      </c>
      <c r="AB179" s="87">
        <v>0</v>
      </c>
      <c r="AC179" s="161">
        <v>0</v>
      </c>
      <c r="AD179" s="148">
        <f t="shared" si="107"/>
        <v>0</v>
      </c>
    </row>
    <row r="180" spans="1:30" ht="48" customHeight="1">
      <c r="A180" s="51">
        <v>54</v>
      </c>
      <c r="B180" s="37" t="s">
        <v>358</v>
      </c>
      <c r="C180" s="24" t="s">
        <v>400</v>
      </c>
      <c r="D180" s="47" t="s">
        <v>151</v>
      </c>
      <c r="E180" s="26">
        <f>F181</f>
        <v>1991.9180000000001</v>
      </c>
      <c r="F180" s="27">
        <f>F181+F182</f>
        <v>4133.8360000000002</v>
      </c>
      <c r="G180" s="27">
        <f>G181+G182</f>
        <v>0</v>
      </c>
      <c r="H180" s="27">
        <f>H181+H182</f>
        <v>0</v>
      </c>
      <c r="I180" s="28">
        <f t="shared" si="123"/>
        <v>4133.8359999999993</v>
      </c>
      <c r="J180" s="27">
        <f t="shared" ref="J180:Q180" si="127">J181+J182</f>
        <v>0</v>
      </c>
      <c r="K180" s="27">
        <f t="shared" si="127"/>
        <v>0</v>
      </c>
      <c r="L180" s="27">
        <f t="shared" si="127"/>
        <v>0</v>
      </c>
      <c r="M180" s="27">
        <f t="shared" si="127"/>
        <v>0</v>
      </c>
      <c r="N180" s="85">
        <f t="shared" si="127"/>
        <v>11.605</v>
      </c>
      <c r="O180" s="85">
        <f t="shared" si="127"/>
        <v>4122.2309999999998</v>
      </c>
      <c r="P180" s="85">
        <f t="shared" si="127"/>
        <v>0</v>
      </c>
      <c r="Q180" s="85">
        <f t="shared" si="127"/>
        <v>0</v>
      </c>
      <c r="R180" s="118">
        <f t="shared" si="125"/>
        <v>0</v>
      </c>
      <c r="S180" s="85">
        <f>S181+S182</f>
        <v>0</v>
      </c>
      <c r="T180" s="85">
        <f t="shared" ref="T180:AC180" si="128">T181+T182</f>
        <v>0</v>
      </c>
      <c r="U180" s="85">
        <f t="shared" si="128"/>
        <v>0</v>
      </c>
      <c r="V180" s="85">
        <f t="shared" si="128"/>
        <v>0</v>
      </c>
      <c r="W180" s="85">
        <f t="shared" si="128"/>
        <v>0</v>
      </c>
      <c r="X180" s="85">
        <f t="shared" si="128"/>
        <v>0</v>
      </c>
      <c r="Y180" s="85">
        <f t="shared" si="128"/>
        <v>0</v>
      </c>
      <c r="Z180" s="85">
        <f t="shared" si="128"/>
        <v>0</v>
      </c>
      <c r="AA180" s="85">
        <f t="shared" si="128"/>
        <v>0</v>
      </c>
      <c r="AB180" s="85">
        <f t="shared" si="128"/>
        <v>0</v>
      </c>
      <c r="AC180" s="150">
        <f t="shared" si="128"/>
        <v>0</v>
      </c>
      <c r="AD180" s="146">
        <f t="shared" si="107"/>
        <v>0</v>
      </c>
    </row>
    <row r="181" spans="1:30">
      <c r="A181" s="40"/>
      <c r="B181" s="10" t="s">
        <v>31</v>
      </c>
      <c r="C181" s="30"/>
      <c r="D181" s="31"/>
      <c r="E181" s="32"/>
      <c r="F181" s="33">
        <f>H181+I181+AD181</f>
        <v>1991.9180000000001</v>
      </c>
      <c r="G181" s="34">
        <v>0</v>
      </c>
      <c r="H181" s="33">
        <v>0</v>
      </c>
      <c r="I181" s="33">
        <f t="shared" si="123"/>
        <v>1991.9180000000001</v>
      </c>
      <c r="J181" s="33">
        <v>0</v>
      </c>
      <c r="K181" s="33">
        <v>0</v>
      </c>
      <c r="L181" s="33">
        <v>0</v>
      </c>
      <c r="M181" s="35">
        <v>0</v>
      </c>
      <c r="N181" s="87">
        <v>4.2860000000000005</v>
      </c>
      <c r="O181" s="87">
        <v>1987.6320000000001</v>
      </c>
      <c r="P181" s="87">
        <v>0</v>
      </c>
      <c r="Q181" s="87">
        <v>0</v>
      </c>
      <c r="R181" s="119">
        <f t="shared" si="125"/>
        <v>0</v>
      </c>
      <c r="S181" s="87">
        <v>0</v>
      </c>
      <c r="T181" s="87">
        <v>0</v>
      </c>
      <c r="U181" s="87">
        <v>0</v>
      </c>
      <c r="V181" s="87">
        <v>0</v>
      </c>
      <c r="W181" s="87">
        <v>0</v>
      </c>
      <c r="X181" s="87">
        <v>0</v>
      </c>
      <c r="Y181" s="87">
        <v>0</v>
      </c>
      <c r="Z181" s="87">
        <v>0</v>
      </c>
      <c r="AA181" s="87">
        <v>0</v>
      </c>
      <c r="AB181" s="87">
        <v>0</v>
      </c>
      <c r="AC181" s="161">
        <v>0</v>
      </c>
      <c r="AD181" s="148">
        <f t="shared" si="107"/>
        <v>0</v>
      </c>
    </row>
    <row r="182" spans="1:30">
      <c r="A182" s="40"/>
      <c r="B182" s="38" t="s">
        <v>41</v>
      </c>
      <c r="C182" s="30"/>
      <c r="D182" s="31"/>
      <c r="E182" s="32"/>
      <c r="F182" s="33">
        <f>H182+I182+AD182</f>
        <v>2141.9180000000001</v>
      </c>
      <c r="G182" s="34">
        <v>0</v>
      </c>
      <c r="H182" s="33">
        <v>0</v>
      </c>
      <c r="I182" s="33">
        <f t="shared" si="123"/>
        <v>2141.9180000000001</v>
      </c>
      <c r="J182" s="33">
        <v>0</v>
      </c>
      <c r="K182" s="33">
        <v>0</v>
      </c>
      <c r="L182" s="33">
        <v>0</v>
      </c>
      <c r="M182" s="33">
        <v>0</v>
      </c>
      <c r="N182" s="87">
        <v>7.319</v>
      </c>
      <c r="O182" s="87">
        <v>2134.5990000000002</v>
      </c>
      <c r="P182" s="87">
        <v>0</v>
      </c>
      <c r="Q182" s="87">
        <v>0</v>
      </c>
      <c r="R182" s="119">
        <f t="shared" si="125"/>
        <v>0</v>
      </c>
      <c r="S182" s="87">
        <v>0</v>
      </c>
      <c r="T182" s="87">
        <v>0</v>
      </c>
      <c r="U182" s="87">
        <v>0</v>
      </c>
      <c r="V182" s="87">
        <v>0</v>
      </c>
      <c r="W182" s="87">
        <v>0</v>
      </c>
      <c r="X182" s="87">
        <v>0</v>
      </c>
      <c r="Y182" s="87">
        <v>0</v>
      </c>
      <c r="Z182" s="87">
        <v>0</v>
      </c>
      <c r="AA182" s="87">
        <v>0</v>
      </c>
      <c r="AB182" s="87">
        <v>0</v>
      </c>
      <c r="AC182" s="161">
        <v>0</v>
      </c>
      <c r="AD182" s="148">
        <f t="shared" si="107"/>
        <v>0</v>
      </c>
    </row>
    <row r="183" spans="1:30" ht="31.5" customHeight="1">
      <c r="A183" s="51">
        <v>55</v>
      </c>
      <c r="B183" s="37" t="s">
        <v>353</v>
      </c>
      <c r="C183" s="24" t="s">
        <v>397</v>
      </c>
      <c r="D183" s="47" t="s">
        <v>151</v>
      </c>
      <c r="E183" s="26">
        <f>F184</f>
        <v>899.01800000000003</v>
      </c>
      <c r="F183" s="27">
        <f>F184+F185</f>
        <v>2067.7130000000002</v>
      </c>
      <c r="G183" s="27">
        <f>G184+G185</f>
        <v>0</v>
      </c>
      <c r="H183" s="27">
        <f>H184+H185</f>
        <v>0</v>
      </c>
      <c r="I183" s="28">
        <f t="shared" si="123"/>
        <v>2067.7130000000002</v>
      </c>
      <c r="J183" s="27">
        <f t="shared" ref="J183:Q183" si="129">J184+J185</f>
        <v>0</v>
      </c>
      <c r="K183" s="27">
        <f t="shared" si="129"/>
        <v>0</v>
      </c>
      <c r="L183" s="27">
        <f t="shared" si="129"/>
        <v>0</v>
      </c>
      <c r="M183" s="27">
        <f t="shared" si="129"/>
        <v>0</v>
      </c>
      <c r="N183" s="85">
        <f t="shared" si="129"/>
        <v>0</v>
      </c>
      <c r="O183" s="85">
        <f t="shared" si="129"/>
        <v>2067.7130000000002</v>
      </c>
      <c r="P183" s="85">
        <f t="shared" si="129"/>
        <v>0</v>
      </c>
      <c r="Q183" s="85">
        <f t="shared" si="129"/>
        <v>0</v>
      </c>
      <c r="R183" s="118">
        <f t="shared" si="125"/>
        <v>0</v>
      </c>
      <c r="S183" s="85">
        <f>S184+S185</f>
        <v>0</v>
      </c>
      <c r="T183" s="85">
        <f t="shared" ref="T183:AC183" si="130">T184+T185</f>
        <v>0</v>
      </c>
      <c r="U183" s="85">
        <f t="shared" si="130"/>
        <v>0</v>
      </c>
      <c r="V183" s="85">
        <f t="shared" si="130"/>
        <v>0</v>
      </c>
      <c r="W183" s="85">
        <f t="shared" si="130"/>
        <v>0</v>
      </c>
      <c r="X183" s="85">
        <f t="shared" si="130"/>
        <v>0</v>
      </c>
      <c r="Y183" s="85">
        <f t="shared" si="130"/>
        <v>0</v>
      </c>
      <c r="Z183" s="85">
        <f t="shared" si="130"/>
        <v>0</v>
      </c>
      <c r="AA183" s="85">
        <f t="shared" si="130"/>
        <v>0</v>
      </c>
      <c r="AB183" s="85">
        <f t="shared" si="130"/>
        <v>0</v>
      </c>
      <c r="AC183" s="150">
        <f t="shared" si="130"/>
        <v>0</v>
      </c>
      <c r="AD183" s="146">
        <f t="shared" si="107"/>
        <v>0</v>
      </c>
    </row>
    <row r="184" spans="1:30">
      <c r="A184" s="40"/>
      <c r="B184" s="10" t="s">
        <v>31</v>
      </c>
      <c r="C184" s="30"/>
      <c r="D184" s="31"/>
      <c r="E184" s="32"/>
      <c r="F184" s="33">
        <f>H184+I184+AD184</f>
        <v>899.01800000000003</v>
      </c>
      <c r="G184" s="34">
        <v>0</v>
      </c>
      <c r="H184" s="33">
        <v>0</v>
      </c>
      <c r="I184" s="33">
        <f t="shared" si="123"/>
        <v>899.01800000000003</v>
      </c>
      <c r="J184" s="33">
        <v>0</v>
      </c>
      <c r="K184" s="33">
        <v>0</v>
      </c>
      <c r="L184" s="33">
        <v>0</v>
      </c>
      <c r="M184" s="35">
        <v>0</v>
      </c>
      <c r="N184" s="87">
        <v>0</v>
      </c>
      <c r="O184" s="87">
        <f>143.704+755.314</f>
        <v>899.01800000000003</v>
      </c>
      <c r="P184" s="87">
        <v>0</v>
      </c>
      <c r="Q184" s="87">
        <v>0</v>
      </c>
      <c r="R184" s="119">
        <f t="shared" si="125"/>
        <v>0</v>
      </c>
      <c r="S184" s="87">
        <v>0</v>
      </c>
      <c r="T184" s="87">
        <v>0</v>
      </c>
      <c r="U184" s="87">
        <v>0</v>
      </c>
      <c r="V184" s="87">
        <v>0</v>
      </c>
      <c r="W184" s="87">
        <v>0</v>
      </c>
      <c r="X184" s="87">
        <v>0</v>
      </c>
      <c r="Y184" s="87">
        <v>0</v>
      </c>
      <c r="Z184" s="87">
        <v>0</v>
      </c>
      <c r="AA184" s="87">
        <v>0</v>
      </c>
      <c r="AB184" s="87">
        <v>0</v>
      </c>
      <c r="AC184" s="161">
        <v>0</v>
      </c>
      <c r="AD184" s="148">
        <f t="shared" si="107"/>
        <v>0</v>
      </c>
    </row>
    <row r="185" spans="1:30">
      <c r="A185" s="40"/>
      <c r="B185" s="38" t="s">
        <v>41</v>
      </c>
      <c r="C185" s="30"/>
      <c r="D185" s="31"/>
      <c r="E185" s="32"/>
      <c r="F185" s="33">
        <f>H185+I185+AD185</f>
        <v>1168.6950000000002</v>
      </c>
      <c r="G185" s="34">
        <v>0</v>
      </c>
      <c r="H185" s="33">
        <v>0</v>
      </c>
      <c r="I185" s="33">
        <f t="shared" si="123"/>
        <v>1168.6950000000002</v>
      </c>
      <c r="J185" s="33">
        <v>0</v>
      </c>
      <c r="K185" s="33">
        <v>0</v>
      </c>
      <c r="L185" s="33">
        <v>0</v>
      </c>
      <c r="M185" s="33">
        <v>0</v>
      </c>
      <c r="N185" s="87">
        <v>0</v>
      </c>
      <c r="O185" s="87">
        <f>860.666+308.029</f>
        <v>1168.6950000000002</v>
      </c>
      <c r="P185" s="87">
        <v>0</v>
      </c>
      <c r="Q185" s="87">
        <v>0</v>
      </c>
      <c r="R185" s="119">
        <f t="shared" si="125"/>
        <v>0</v>
      </c>
      <c r="S185" s="87">
        <v>0</v>
      </c>
      <c r="T185" s="87">
        <v>0</v>
      </c>
      <c r="U185" s="87">
        <v>0</v>
      </c>
      <c r="V185" s="87">
        <v>0</v>
      </c>
      <c r="W185" s="87">
        <v>0</v>
      </c>
      <c r="X185" s="87">
        <v>0</v>
      </c>
      <c r="Y185" s="87">
        <v>0</v>
      </c>
      <c r="Z185" s="87">
        <v>0</v>
      </c>
      <c r="AA185" s="87">
        <v>0</v>
      </c>
      <c r="AB185" s="87">
        <v>0</v>
      </c>
      <c r="AC185" s="161">
        <v>0</v>
      </c>
      <c r="AD185" s="148">
        <f t="shared" si="107"/>
        <v>0</v>
      </c>
    </row>
    <row r="186" spans="1:30" ht="43.5" customHeight="1">
      <c r="A186" s="51">
        <v>56</v>
      </c>
      <c r="B186" s="37" t="s">
        <v>410</v>
      </c>
      <c r="C186" s="24" t="s">
        <v>135</v>
      </c>
      <c r="D186" s="47" t="s">
        <v>387</v>
      </c>
      <c r="E186" s="26">
        <f>F187</f>
        <v>1372.6369999999999</v>
      </c>
      <c r="F186" s="27">
        <f>F187+F188</f>
        <v>4861.2829999999994</v>
      </c>
      <c r="G186" s="27">
        <f>G187+G188</f>
        <v>0</v>
      </c>
      <c r="H186" s="27">
        <f>H187+H188</f>
        <v>0</v>
      </c>
      <c r="I186" s="28">
        <f t="shared" si="123"/>
        <v>24.908999999999999</v>
      </c>
      <c r="J186" s="27">
        <f t="shared" ref="J186:Q186" si="131">J187+J188</f>
        <v>0</v>
      </c>
      <c r="K186" s="27">
        <f t="shared" si="131"/>
        <v>0</v>
      </c>
      <c r="L186" s="27">
        <f t="shared" si="131"/>
        <v>0</v>
      </c>
      <c r="M186" s="27">
        <f t="shared" si="131"/>
        <v>0</v>
      </c>
      <c r="N186" s="85">
        <f t="shared" si="131"/>
        <v>0</v>
      </c>
      <c r="O186" s="85">
        <f t="shared" si="131"/>
        <v>24.908999999999999</v>
      </c>
      <c r="P186" s="85">
        <f t="shared" si="131"/>
        <v>4836.3739999999998</v>
      </c>
      <c r="Q186" s="85">
        <f t="shared" si="131"/>
        <v>0</v>
      </c>
      <c r="R186" s="118">
        <f>SUM(S186:AC186)</f>
        <v>0</v>
      </c>
      <c r="S186" s="85">
        <f>S187+S188</f>
        <v>0</v>
      </c>
      <c r="T186" s="85">
        <f t="shared" ref="T186:AC186" si="132">T187+T188</f>
        <v>0</v>
      </c>
      <c r="U186" s="85">
        <f t="shared" si="132"/>
        <v>0</v>
      </c>
      <c r="V186" s="85">
        <f t="shared" si="132"/>
        <v>0</v>
      </c>
      <c r="W186" s="85">
        <f t="shared" si="132"/>
        <v>0</v>
      </c>
      <c r="X186" s="85">
        <f t="shared" si="132"/>
        <v>0</v>
      </c>
      <c r="Y186" s="85">
        <f t="shared" si="132"/>
        <v>0</v>
      </c>
      <c r="Z186" s="85">
        <f t="shared" si="132"/>
        <v>0</v>
      </c>
      <c r="AA186" s="85">
        <f t="shared" si="132"/>
        <v>0</v>
      </c>
      <c r="AB186" s="85">
        <f t="shared" si="132"/>
        <v>0</v>
      </c>
      <c r="AC186" s="150">
        <f t="shared" si="132"/>
        <v>0</v>
      </c>
      <c r="AD186" s="146">
        <f>P186+Q186+R186</f>
        <v>4836.3739999999998</v>
      </c>
    </row>
    <row r="187" spans="1:30">
      <c r="A187" s="40"/>
      <c r="B187" s="10" t="s">
        <v>31</v>
      </c>
      <c r="C187" s="30"/>
      <c r="D187" s="31"/>
      <c r="E187" s="32"/>
      <c r="F187" s="33">
        <f>H187+I187+AD187</f>
        <v>1372.6369999999999</v>
      </c>
      <c r="G187" s="34">
        <v>0</v>
      </c>
      <c r="H187" s="33">
        <v>0</v>
      </c>
      <c r="I187" s="33">
        <f t="shared" si="123"/>
        <v>6.2309999999999999</v>
      </c>
      <c r="J187" s="33">
        <v>0</v>
      </c>
      <c r="K187" s="33">
        <v>0</v>
      </c>
      <c r="L187" s="33">
        <v>0</v>
      </c>
      <c r="M187" s="35">
        <v>0</v>
      </c>
      <c r="N187" s="87">
        <v>0</v>
      </c>
      <c r="O187" s="87">
        <v>6.2309999999999999</v>
      </c>
      <c r="P187" s="87">
        <v>1366.4059999999999</v>
      </c>
      <c r="Q187" s="87">
        <v>0</v>
      </c>
      <c r="R187" s="119">
        <f>SUM(S187:AC187)</f>
        <v>0</v>
      </c>
      <c r="S187" s="87">
        <v>0</v>
      </c>
      <c r="T187" s="87">
        <v>0</v>
      </c>
      <c r="U187" s="87">
        <v>0</v>
      </c>
      <c r="V187" s="87">
        <v>0</v>
      </c>
      <c r="W187" s="87">
        <v>0</v>
      </c>
      <c r="X187" s="87">
        <v>0</v>
      </c>
      <c r="Y187" s="87">
        <v>0</v>
      </c>
      <c r="Z187" s="87">
        <v>0</v>
      </c>
      <c r="AA187" s="87">
        <v>0</v>
      </c>
      <c r="AB187" s="87">
        <v>0</v>
      </c>
      <c r="AC187" s="161">
        <v>0</v>
      </c>
      <c r="AD187" s="148">
        <f>P187+Q187+R187</f>
        <v>1366.4059999999999</v>
      </c>
    </row>
    <row r="188" spans="1:30">
      <c r="A188" s="40"/>
      <c r="B188" s="38" t="s">
        <v>41</v>
      </c>
      <c r="C188" s="30"/>
      <c r="D188" s="31"/>
      <c r="E188" s="32"/>
      <c r="F188" s="33">
        <f>H188+I188+AD188</f>
        <v>3488.6459999999997</v>
      </c>
      <c r="G188" s="34">
        <v>0</v>
      </c>
      <c r="H188" s="33">
        <v>0</v>
      </c>
      <c r="I188" s="33">
        <f t="shared" si="123"/>
        <v>18.678000000000001</v>
      </c>
      <c r="J188" s="33">
        <v>0</v>
      </c>
      <c r="K188" s="33">
        <v>0</v>
      </c>
      <c r="L188" s="33">
        <v>0</v>
      </c>
      <c r="M188" s="33">
        <v>0</v>
      </c>
      <c r="N188" s="87">
        <v>0</v>
      </c>
      <c r="O188" s="87">
        <v>18.678000000000001</v>
      </c>
      <c r="P188" s="87">
        <v>3469.9679999999998</v>
      </c>
      <c r="Q188" s="87">
        <v>0</v>
      </c>
      <c r="R188" s="119">
        <f>SUM(S188:AC188)</f>
        <v>0</v>
      </c>
      <c r="S188" s="87">
        <v>0</v>
      </c>
      <c r="T188" s="87">
        <v>0</v>
      </c>
      <c r="U188" s="87">
        <v>0</v>
      </c>
      <c r="V188" s="87">
        <v>0</v>
      </c>
      <c r="W188" s="87">
        <v>0</v>
      </c>
      <c r="X188" s="87">
        <v>0</v>
      </c>
      <c r="Y188" s="87">
        <v>0</v>
      </c>
      <c r="Z188" s="87">
        <v>0</v>
      </c>
      <c r="AA188" s="87">
        <v>0</v>
      </c>
      <c r="AB188" s="87">
        <v>0</v>
      </c>
      <c r="AC188" s="161">
        <v>0</v>
      </c>
      <c r="AD188" s="148">
        <f>P188+Q188+R188</f>
        <v>3469.9679999999998</v>
      </c>
    </row>
    <row r="189" spans="1:30" ht="22.5">
      <c r="A189" s="51">
        <v>57</v>
      </c>
      <c r="B189" s="37" t="s">
        <v>129</v>
      </c>
      <c r="C189" s="24" t="s">
        <v>343</v>
      </c>
      <c r="D189" s="47" t="s">
        <v>102</v>
      </c>
      <c r="E189" s="26">
        <f>F190</f>
        <v>820.70300000000009</v>
      </c>
      <c r="F189" s="27">
        <f>F190+F191+F192</f>
        <v>3058.86</v>
      </c>
      <c r="G189" s="27">
        <f>G190+G191</f>
        <v>0</v>
      </c>
      <c r="H189" s="27">
        <f>H190+H191</f>
        <v>0</v>
      </c>
      <c r="I189" s="28">
        <f t="shared" si="90"/>
        <v>3058.86</v>
      </c>
      <c r="J189" s="27">
        <f t="shared" ref="J189:Q189" si="133">J190+J191</f>
        <v>0</v>
      </c>
      <c r="K189" s="27">
        <f t="shared" si="133"/>
        <v>0</v>
      </c>
      <c r="L189" s="27">
        <f t="shared" si="133"/>
        <v>0</v>
      </c>
      <c r="M189" s="27">
        <f>M190+M191+M192</f>
        <v>282.97500000000002</v>
      </c>
      <c r="N189" s="85">
        <f>N190+N191+N192</f>
        <v>1192.4829999999999</v>
      </c>
      <c r="O189" s="85">
        <f>O190+O191+O192</f>
        <v>1583.402</v>
      </c>
      <c r="P189" s="85">
        <f t="shared" si="133"/>
        <v>0</v>
      </c>
      <c r="Q189" s="85">
        <f t="shared" si="133"/>
        <v>0</v>
      </c>
      <c r="R189" s="118">
        <f t="shared" si="91"/>
        <v>0</v>
      </c>
      <c r="S189" s="85">
        <f>S190+S191</f>
        <v>0</v>
      </c>
      <c r="T189" s="85">
        <f t="shared" ref="T189:AC189" si="134">T190+T191</f>
        <v>0</v>
      </c>
      <c r="U189" s="85">
        <f t="shared" si="134"/>
        <v>0</v>
      </c>
      <c r="V189" s="85">
        <f t="shared" si="134"/>
        <v>0</v>
      </c>
      <c r="W189" s="85">
        <f t="shared" si="134"/>
        <v>0</v>
      </c>
      <c r="X189" s="85">
        <f t="shared" si="134"/>
        <v>0</v>
      </c>
      <c r="Y189" s="85">
        <f t="shared" si="134"/>
        <v>0</v>
      </c>
      <c r="Z189" s="85">
        <f t="shared" si="134"/>
        <v>0</v>
      </c>
      <c r="AA189" s="85">
        <f t="shared" si="134"/>
        <v>0</v>
      </c>
      <c r="AB189" s="85">
        <f t="shared" si="134"/>
        <v>0</v>
      </c>
      <c r="AC189" s="150">
        <f t="shared" si="134"/>
        <v>0</v>
      </c>
      <c r="AD189" s="146">
        <f t="shared" si="107"/>
        <v>0</v>
      </c>
    </row>
    <row r="190" spans="1:30">
      <c r="A190" s="40"/>
      <c r="B190" s="10" t="s">
        <v>31</v>
      </c>
      <c r="C190" s="30"/>
      <c r="D190" s="31"/>
      <c r="E190" s="32"/>
      <c r="F190" s="33">
        <f>H190+I190+AD190</f>
        <v>820.70300000000009</v>
      </c>
      <c r="G190" s="34">
        <v>0</v>
      </c>
      <c r="H190" s="33">
        <v>0</v>
      </c>
      <c r="I190" s="33">
        <f t="shared" si="90"/>
        <v>820.70300000000009</v>
      </c>
      <c r="J190" s="33">
        <v>0</v>
      </c>
      <c r="K190" s="33">
        <v>0</v>
      </c>
      <c r="L190" s="33">
        <v>0</v>
      </c>
      <c r="M190" s="33">
        <v>75.953000000000003</v>
      </c>
      <c r="N190" s="87">
        <v>354.82800000000003</v>
      </c>
      <c r="O190" s="86">
        <v>389.92200000000003</v>
      </c>
      <c r="P190" s="87">
        <v>0</v>
      </c>
      <c r="Q190" s="87">
        <v>0</v>
      </c>
      <c r="R190" s="119">
        <f t="shared" si="91"/>
        <v>0</v>
      </c>
      <c r="S190" s="87">
        <v>0</v>
      </c>
      <c r="T190" s="87">
        <v>0</v>
      </c>
      <c r="U190" s="87">
        <v>0</v>
      </c>
      <c r="V190" s="87">
        <v>0</v>
      </c>
      <c r="W190" s="87">
        <v>0</v>
      </c>
      <c r="X190" s="87">
        <v>0</v>
      </c>
      <c r="Y190" s="87">
        <v>0</v>
      </c>
      <c r="Z190" s="87">
        <v>0</v>
      </c>
      <c r="AA190" s="87">
        <v>0</v>
      </c>
      <c r="AB190" s="87">
        <v>0</v>
      </c>
      <c r="AC190" s="161">
        <v>0</v>
      </c>
      <c r="AD190" s="148">
        <f t="shared" si="107"/>
        <v>0</v>
      </c>
    </row>
    <row r="191" spans="1:30">
      <c r="A191" s="40"/>
      <c r="B191" s="38" t="s">
        <v>41</v>
      </c>
      <c r="C191" s="30"/>
      <c r="D191" s="31"/>
      <c r="E191" s="32"/>
      <c r="F191" s="33">
        <f>H191+I191+AD191</f>
        <v>1902.415</v>
      </c>
      <c r="G191" s="34">
        <v>0</v>
      </c>
      <c r="H191" s="33">
        <v>0</v>
      </c>
      <c r="I191" s="33">
        <f t="shared" si="90"/>
        <v>1902.415</v>
      </c>
      <c r="J191" s="33">
        <v>0</v>
      </c>
      <c r="K191" s="33">
        <v>0</v>
      </c>
      <c r="L191" s="33">
        <v>0</v>
      </c>
      <c r="M191" s="33">
        <f>176.09-0.14</f>
        <v>175.95000000000002</v>
      </c>
      <c r="N191" s="87">
        <v>641.90499999999997</v>
      </c>
      <c r="O191" s="86">
        <v>1084.56</v>
      </c>
      <c r="P191" s="87">
        <v>0</v>
      </c>
      <c r="Q191" s="87">
        <v>0</v>
      </c>
      <c r="R191" s="119">
        <f t="shared" si="91"/>
        <v>0</v>
      </c>
      <c r="S191" s="87">
        <v>0</v>
      </c>
      <c r="T191" s="87">
        <v>0</v>
      </c>
      <c r="U191" s="87">
        <v>0</v>
      </c>
      <c r="V191" s="87">
        <v>0</v>
      </c>
      <c r="W191" s="87">
        <v>0</v>
      </c>
      <c r="X191" s="87">
        <v>0</v>
      </c>
      <c r="Y191" s="87">
        <v>0</v>
      </c>
      <c r="Z191" s="87">
        <v>0</v>
      </c>
      <c r="AA191" s="87">
        <v>0</v>
      </c>
      <c r="AB191" s="87">
        <v>0</v>
      </c>
      <c r="AC191" s="161">
        <v>0</v>
      </c>
      <c r="AD191" s="148">
        <f t="shared" si="107"/>
        <v>0</v>
      </c>
    </row>
    <row r="192" spans="1:30">
      <c r="A192" s="40"/>
      <c r="B192" s="38" t="s">
        <v>89</v>
      </c>
      <c r="C192" s="30"/>
      <c r="D192" s="31"/>
      <c r="E192" s="32"/>
      <c r="F192" s="33">
        <f>H192+I192+AD192</f>
        <v>335.74200000000002</v>
      </c>
      <c r="G192" s="34"/>
      <c r="H192" s="33"/>
      <c r="I192" s="33">
        <f t="shared" si="90"/>
        <v>335.74200000000002</v>
      </c>
      <c r="J192" s="33"/>
      <c r="K192" s="33"/>
      <c r="L192" s="33"/>
      <c r="M192" s="33">
        <v>31.071999999999999</v>
      </c>
      <c r="N192" s="87">
        <v>195.75</v>
      </c>
      <c r="O192" s="87">
        <v>108.92</v>
      </c>
      <c r="P192" s="87">
        <v>0</v>
      </c>
      <c r="Q192" s="87">
        <v>0</v>
      </c>
      <c r="R192" s="119">
        <f t="shared" si="91"/>
        <v>0</v>
      </c>
      <c r="S192" s="87">
        <v>0</v>
      </c>
      <c r="T192" s="87">
        <v>0</v>
      </c>
      <c r="U192" s="87">
        <v>0</v>
      </c>
      <c r="V192" s="87">
        <v>0</v>
      </c>
      <c r="W192" s="87">
        <v>0</v>
      </c>
      <c r="X192" s="87">
        <v>0</v>
      </c>
      <c r="Y192" s="87"/>
      <c r="Z192" s="87"/>
      <c r="AA192" s="87"/>
      <c r="AB192" s="87"/>
      <c r="AC192" s="161"/>
      <c r="AD192" s="148">
        <f t="shared" si="107"/>
        <v>0</v>
      </c>
    </row>
    <row r="193" spans="1:30" ht="33.75">
      <c r="A193" s="51">
        <v>58</v>
      </c>
      <c r="B193" s="37" t="s">
        <v>130</v>
      </c>
      <c r="C193" s="24" t="s">
        <v>131</v>
      </c>
      <c r="D193" s="47" t="s">
        <v>92</v>
      </c>
      <c r="E193" s="26">
        <f>F194</f>
        <v>258.57299999999998</v>
      </c>
      <c r="F193" s="27">
        <f>F194+F195+F196</f>
        <v>458.57299999999998</v>
      </c>
      <c r="G193" s="52">
        <v>0</v>
      </c>
      <c r="H193" s="28">
        <v>0</v>
      </c>
      <c r="I193" s="28">
        <f t="shared" ref="I193:I204" si="135">SUM(K193:O193)</f>
        <v>458.57299999999998</v>
      </c>
      <c r="J193" s="27">
        <f>J194+J195+J196</f>
        <v>0</v>
      </c>
      <c r="K193" s="27">
        <f t="shared" ref="K193:Q193" si="136">K194+K195+K196</f>
        <v>0</v>
      </c>
      <c r="L193" s="27">
        <f t="shared" si="136"/>
        <v>400</v>
      </c>
      <c r="M193" s="27">
        <f t="shared" si="136"/>
        <v>0</v>
      </c>
      <c r="N193" s="85">
        <f t="shared" si="136"/>
        <v>0</v>
      </c>
      <c r="O193" s="85">
        <f t="shared" si="136"/>
        <v>58.573</v>
      </c>
      <c r="P193" s="85">
        <f t="shared" si="136"/>
        <v>0</v>
      </c>
      <c r="Q193" s="85">
        <f t="shared" si="136"/>
        <v>0</v>
      </c>
      <c r="R193" s="118">
        <f t="shared" ref="R193:R204" si="137">SUM(S193:AC193)</f>
        <v>0</v>
      </c>
      <c r="S193" s="85">
        <f>S194+S195+S196</f>
        <v>0</v>
      </c>
      <c r="T193" s="85">
        <f t="shared" ref="T193:AC193" si="138">T194+T195+T196</f>
        <v>0</v>
      </c>
      <c r="U193" s="85">
        <f t="shared" si="138"/>
        <v>0</v>
      </c>
      <c r="V193" s="85">
        <f t="shared" si="138"/>
        <v>0</v>
      </c>
      <c r="W193" s="85">
        <f t="shared" si="138"/>
        <v>0</v>
      </c>
      <c r="X193" s="85">
        <f t="shared" si="138"/>
        <v>0</v>
      </c>
      <c r="Y193" s="85">
        <f t="shared" si="138"/>
        <v>0</v>
      </c>
      <c r="Z193" s="85">
        <f t="shared" si="138"/>
        <v>0</v>
      </c>
      <c r="AA193" s="85">
        <f t="shared" si="138"/>
        <v>0</v>
      </c>
      <c r="AB193" s="85">
        <f t="shared" si="138"/>
        <v>0</v>
      </c>
      <c r="AC193" s="150">
        <f t="shared" si="138"/>
        <v>0</v>
      </c>
      <c r="AD193" s="146">
        <f t="shared" si="107"/>
        <v>0</v>
      </c>
    </row>
    <row r="194" spans="1:30">
      <c r="A194" s="40"/>
      <c r="B194" s="10" t="s">
        <v>31</v>
      </c>
      <c r="C194" s="30"/>
      <c r="D194" s="31"/>
      <c r="E194" s="32"/>
      <c r="F194" s="33">
        <f>H194+I194+AD194</f>
        <v>258.57299999999998</v>
      </c>
      <c r="G194" s="34">
        <v>0</v>
      </c>
      <c r="H194" s="33">
        <v>0</v>
      </c>
      <c r="I194" s="33">
        <f t="shared" si="135"/>
        <v>258.57299999999998</v>
      </c>
      <c r="J194" s="33">
        <v>0</v>
      </c>
      <c r="K194" s="33">
        <v>0</v>
      </c>
      <c r="L194" s="33">
        <v>200</v>
      </c>
      <c r="M194" s="33">
        <v>0</v>
      </c>
      <c r="N194" s="87">
        <f>960.577-960.577</f>
        <v>0</v>
      </c>
      <c r="O194" s="87">
        <v>58.573</v>
      </c>
      <c r="P194" s="87">
        <v>0</v>
      </c>
      <c r="Q194" s="87">
        <v>0</v>
      </c>
      <c r="R194" s="119">
        <f t="shared" si="137"/>
        <v>0</v>
      </c>
      <c r="S194" s="87">
        <v>0</v>
      </c>
      <c r="T194" s="87">
        <v>0</v>
      </c>
      <c r="U194" s="87">
        <v>0</v>
      </c>
      <c r="V194" s="87">
        <v>0</v>
      </c>
      <c r="W194" s="87">
        <v>0</v>
      </c>
      <c r="X194" s="87">
        <v>0</v>
      </c>
      <c r="Y194" s="87">
        <v>0</v>
      </c>
      <c r="Z194" s="87">
        <v>0</v>
      </c>
      <c r="AA194" s="87">
        <v>0</v>
      </c>
      <c r="AB194" s="87">
        <v>0</v>
      </c>
      <c r="AC194" s="161">
        <v>0</v>
      </c>
      <c r="AD194" s="148">
        <f t="shared" si="107"/>
        <v>0</v>
      </c>
    </row>
    <row r="195" spans="1:30">
      <c r="A195" s="40"/>
      <c r="B195" s="38" t="s">
        <v>41</v>
      </c>
      <c r="C195" s="30"/>
      <c r="D195" s="31"/>
      <c r="E195" s="32"/>
      <c r="F195" s="33">
        <f>H195+I195+AD195</f>
        <v>0</v>
      </c>
      <c r="G195" s="34">
        <v>0</v>
      </c>
      <c r="H195" s="33">
        <v>0</v>
      </c>
      <c r="I195" s="33">
        <f t="shared" si="135"/>
        <v>0</v>
      </c>
      <c r="J195" s="33">
        <v>0</v>
      </c>
      <c r="K195" s="33">
        <v>0</v>
      </c>
      <c r="L195" s="33">
        <v>0</v>
      </c>
      <c r="M195" s="33">
        <v>0</v>
      </c>
      <c r="N195" s="87">
        <v>0</v>
      </c>
      <c r="O195" s="87">
        <v>0</v>
      </c>
      <c r="P195" s="87">
        <v>0</v>
      </c>
      <c r="Q195" s="87">
        <v>0</v>
      </c>
      <c r="R195" s="119">
        <f t="shared" si="137"/>
        <v>0</v>
      </c>
      <c r="S195" s="87">
        <v>0</v>
      </c>
      <c r="T195" s="87">
        <v>0</v>
      </c>
      <c r="U195" s="87">
        <v>0</v>
      </c>
      <c r="V195" s="87">
        <v>0</v>
      </c>
      <c r="W195" s="87">
        <v>0</v>
      </c>
      <c r="X195" s="87">
        <v>0</v>
      </c>
      <c r="Y195" s="87">
        <v>0</v>
      </c>
      <c r="Z195" s="87">
        <v>0</v>
      </c>
      <c r="AA195" s="87">
        <v>0</v>
      </c>
      <c r="AB195" s="87">
        <v>0</v>
      </c>
      <c r="AC195" s="161">
        <v>0</v>
      </c>
      <c r="AD195" s="148">
        <f t="shared" si="107"/>
        <v>0</v>
      </c>
    </row>
    <row r="196" spans="1:30">
      <c r="A196" s="40"/>
      <c r="B196" s="10" t="s">
        <v>133</v>
      </c>
      <c r="C196" s="30"/>
      <c r="D196" s="31"/>
      <c r="E196" s="32"/>
      <c r="F196" s="33">
        <f>H196+I196+AD196</f>
        <v>200</v>
      </c>
      <c r="G196" s="34">
        <v>0</v>
      </c>
      <c r="H196" s="33">
        <v>0</v>
      </c>
      <c r="I196" s="33">
        <f t="shared" si="135"/>
        <v>200</v>
      </c>
      <c r="J196" s="33">
        <v>0</v>
      </c>
      <c r="K196" s="33">
        <v>0</v>
      </c>
      <c r="L196" s="33">
        <v>200</v>
      </c>
      <c r="M196" s="33">
        <v>0</v>
      </c>
      <c r="N196" s="86">
        <v>0</v>
      </c>
      <c r="O196" s="87">
        <v>0</v>
      </c>
      <c r="P196" s="87">
        <v>0</v>
      </c>
      <c r="Q196" s="87">
        <v>0</v>
      </c>
      <c r="R196" s="119">
        <f t="shared" si="137"/>
        <v>0</v>
      </c>
      <c r="S196" s="87">
        <v>0</v>
      </c>
      <c r="T196" s="87">
        <v>0</v>
      </c>
      <c r="U196" s="87">
        <v>0</v>
      </c>
      <c r="V196" s="87">
        <v>0</v>
      </c>
      <c r="W196" s="87">
        <v>0</v>
      </c>
      <c r="X196" s="87">
        <v>0</v>
      </c>
      <c r="Y196" s="87">
        <v>0</v>
      </c>
      <c r="Z196" s="87">
        <v>0</v>
      </c>
      <c r="AA196" s="87">
        <v>0</v>
      </c>
      <c r="AB196" s="87">
        <v>0</v>
      </c>
      <c r="AC196" s="161">
        <v>0</v>
      </c>
      <c r="AD196" s="148">
        <f t="shared" si="107"/>
        <v>0</v>
      </c>
    </row>
    <row r="197" spans="1:30" ht="29.25">
      <c r="A197" s="20">
        <v>59</v>
      </c>
      <c r="B197" s="23" t="s">
        <v>134</v>
      </c>
      <c r="C197" s="24" t="s">
        <v>115</v>
      </c>
      <c r="D197" s="25" t="s">
        <v>378</v>
      </c>
      <c r="E197" s="26">
        <f>F198</f>
        <v>48558.195</v>
      </c>
      <c r="F197" s="27">
        <f>F198</f>
        <v>48558.195</v>
      </c>
      <c r="G197" s="28">
        <v>27734.113000000001</v>
      </c>
      <c r="H197" s="28">
        <v>30055.238000000001</v>
      </c>
      <c r="I197" s="28">
        <f t="shared" si="135"/>
        <v>18502.956999999999</v>
      </c>
      <c r="J197" s="27">
        <f>J198</f>
        <v>2321.125</v>
      </c>
      <c r="K197" s="27">
        <f t="shared" ref="K197:Q197" si="139">K198</f>
        <v>5585.5339999999997</v>
      </c>
      <c r="L197" s="27">
        <f t="shared" si="139"/>
        <v>6105.2510000000002</v>
      </c>
      <c r="M197" s="27">
        <f t="shared" si="139"/>
        <v>5345.268</v>
      </c>
      <c r="N197" s="85">
        <f t="shared" si="139"/>
        <v>1466.904</v>
      </c>
      <c r="O197" s="85">
        <f t="shared" si="139"/>
        <v>0</v>
      </c>
      <c r="P197" s="85">
        <f t="shared" si="139"/>
        <v>0</v>
      </c>
      <c r="Q197" s="85">
        <f t="shared" si="139"/>
        <v>0</v>
      </c>
      <c r="R197" s="118">
        <f t="shared" si="137"/>
        <v>0</v>
      </c>
      <c r="S197" s="85">
        <f>S198</f>
        <v>0</v>
      </c>
      <c r="T197" s="85">
        <f t="shared" ref="T197:AC197" si="140">T198</f>
        <v>0</v>
      </c>
      <c r="U197" s="85">
        <f t="shared" si="140"/>
        <v>0</v>
      </c>
      <c r="V197" s="85">
        <f t="shared" si="140"/>
        <v>0</v>
      </c>
      <c r="W197" s="85">
        <f t="shared" si="140"/>
        <v>0</v>
      </c>
      <c r="X197" s="85">
        <f t="shared" si="140"/>
        <v>0</v>
      </c>
      <c r="Y197" s="85">
        <f t="shared" si="140"/>
        <v>0</v>
      </c>
      <c r="Z197" s="85">
        <f t="shared" si="140"/>
        <v>0</v>
      </c>
      <c r="AA197" s="85">
        <f t="shared" si="140"/>
        <v>0</v>
      </c>
      <c r="AB197" s="85">
        <f t="shared" si="140"/>
        <v>0</v>
      </c>
      <c r="AC197" s="150">
        <f t="shared" si="140"/>
        <v>0</v>
      </c>
      <c r="AD197" s="146">
        <f t="shared" si="107"/>
        <v>0</v>
      </c>
    </row>
    <row r="198" spans="1:30">
      <c r="A198" s="40"/>
      <c r="B198" s="10" t="s">
        <v>31</v>
      </c>
      <c r="C198" s="30"/>
      <c r="D198" s="31"/>
      <c r="E198" s="32"/>
      <c r="F198" s="33">
        <f>H198+I198+AD198</f>
        <v>48558.195</v>
      </c>
      <c r="G198" s="34">
        <v>27734.113000000001</v>
      </c>
      <c r="H198" s="33">
        <v>30055.238000000001</v>
      </c>
      <c r="I198" s="33">
        <f t="shared" si="135"/>
        <v>18502.956999999999</v>
      </c>
      <c r="J198" s="33">
        <v>2321.125</v>
      </c>
      <c r="K198" s="33">
        <v>5585.5339999999997</v>
      </c>
      <c r="L198" s="33">
        <v>6105.2510000000002</v>
      </c>
      <c r="M198" s="33">
        <v>5345.268</v>
      </c>
      <c r="N198" s="87">
        <v>1466.904</v>
      </c>
      <c r="O198" s="87">
        <v>0</v>
      </c>
      <c r="P198" s="87">
        <v>0</v>
      </c>
      <c r="Q198" s="87">
        <v>0</v>
      </c>
      <c r="R198" s="119">
        <f t="shared" si="137"/>
        <v>0</v>
      </c>
      <c r="S198" s="87">
        <v>0</v>
      </c>
      <c r="T198" s="87">
        <v>0</v>
      </c>
      <c r="U198" s="87">
        <v>0</v>
      </c>
      <c r="V198" s="87">
        <v>0</v>
      </c>
      <c r="W198" s="87">
        <v>0</v>
      </c>
      <c r="X198" s="87">
        <v>0</v>
      </c>
      <c r="Y198" s="87">
        <v>0</v>
      </c>
      <c r="Z198" s="87">
        <v>0</v>
      </c>
      <c r="AA198" s="87">
        <v>0</v>
      </c>
      <c r="AB198" s="87">
        <v>0</v>
      </c>
      <c r="AC198" s="161">
        <v>0</v>
      </c>
      <c r="AD198" s="148">
        <f t="shared" si="107"/>
        <v>0</v>
      </c>
    </row>
    <row r="199" spans="1:30" ht="22.5">
      <c r="A199" s="20">
        <v>60</v>
      </c>
      <c r="B199" s="37" t="s">
        <v>324</v>
      </c>
      <c r="C199" s="24" t="s">
        <v>135</v>
      </c>
      <c r="D199" s="25" t="s">
        <v>136</v>
      </c>
      <c r="E199" s="26">
        <f>F200</f>
        <v>387</v>
      </c>
      <c r="F199" s="27">
        <f>F200</f>
        <v>387</v>
      </c>
      <c r="G199" s="28">
        <f>G200</f>
        <v>0</v>
      </c>
      <c r="H199" s="28">
        <f>H200</f>
        <v>0</v>
      </c>
      <c r="I199" s="28">
        <f t="shared" si="135"/>
        <v>387</v>
      </c>
      <c r="J199" s="27">
        <f>J200</f>
        <v>0</v>
      </c>
      <c r="K199" s="27">
        <f t="shared" ref="K199:Q199" si="141">K200</f>
        <v>0</v>
      </c>
      <c r="L199" s="27">
        <f t="shared" si="141"/>
        <v>0</v>
      </c>
      <c r="M199" s="27">
        <f t="shared" si="141"/>
        <v>387</v>
      </c>
      <c r="N199" s="85">
        <f t="shared" si="141"/>
        <v>0</v>
      </c>
      <c r="O199" s="85">
        <f t="shared" si="141"/>
        <v>0</v>
      </c>
      <c r="P199" s="85">
        <f t="shared" si="141"/>
        <v>0</v>
      </c>
      <c r="Q199" s="85">
        <f t="shared" si="141"/>
        <v>0</v>
      </c>
      <c r="R199" s="118">
        <f t="shared" si="137"/>
        <v>0</v>
      </c>
      <c r="S199" s="85">
        <f>S200</f>
        <v>0</v>
      </c>
      <c r="T199" s="85">
        <f t="shared" ref="T199:AC199" si="142">T200</f>
        <v>0</v>
      </c>
      <c r="U199" s="85">
        <f t="shared" si="142"/>
        <v>0</v>
      </c>
      <c r="V199" s="85">
        <f t="shared" si="142"/>
        <v>0</v>
      </c>
      <c r="W199" s="85">
        <f t="shared" si="142"/>
        <v>0</v>
      </c>
      <c r="X199" s="85">
        <f t="shared" si="142"/>
        <v>0</v>
      </c>
      <c r="Y199" s="85">
        <f t="shared" si="142"/>
        <v>0</v>
      </c>
      <c r="Z199" s="85">
        <f t="shared" si="142"/>
        <v>0</v>
      </c>
      <c r="AA199" s="85">
        <f t="shared" si="142"/>
        <v>0</v>
      </c>
      <c r="AB199" s="85">
        <f t="shared" si="142"/>
        <v>0</v>
      </c>
      <c r="AC199" s="150">
        <f t="shared" si="142"/>
        <v>0</v>
      </c>
      <c r="AD199" s="146">
        <f t="shared" si="107"/>
        <v>0</v>
      </c>
    </row>
    <row r="200" spans="1:30">
      <c r="A200" s="40"/>
      <c r="B200" s="10" t="s">
        <v>31</v>
      </c>
      <c r="C200" s="30"/>
      <c r="D200" s="31"/>
      <c r="E200" s="32"/>
      <c r="F200" s="33">
        <f>H200+I200+AD200</f>
        <v>387</v>
      </c>
      <c r="G200" s="34">
        <v>0</v>
      </c>
      <c r="H200" s="33">
        <v>0</v>
      </c>
      <c r="I200" s="33">
        <f t="shared" si="135"/>
        <v>387</v>
      </c>
      <c r="J200" s="33">
        <v>0</v>
      </c>
      <c r="K200" s="33">
        <v>0</v>
      </c>
      <c r="L200" s="33">
        <v>0</v>
      </c>
      <c r="M200" s="33">
        <v>387</v>
      </c>
      <c r="N200" s="87">
        <v>0</v>
      </c>
      <c r="O200" s="87">
        <v>0</v>
      </c>
      <c r="P200" s="87">
        <v>0</v>
      </c>
      <c r="Q200" s="87">
        <v>0</v>
      </c>
      <c r="R200" s="119">
        <f t="shared" si="137"/>
        <v>0</v>
      </c>
      <c r="S200" s="87">
        <v>0</v>
      </c>
      <c r="T200" s="87">
        <v>0</v>
      </c>
      <c r="U200" s="87">
        <v>0</v>
      </c>
      <c r="V200" s="87">
        <v>0</v>
      </c>
      <c r="W200" s="87">
        <v>0</v>
      </c>
      <c r="X200" s="87">
        <v>0</v>
      </c>
      <c r="Y200" s="87">
        <v>0</v>
      </c>
      <c r="Z200" s="87">
        <v>0</v>
      </c>
      <c r="AA200" s="87">
        <v>0</v>
      </c>
      <c r="AB200" s="87">
        <v>0</v>
      </c>
      <c r="AC200" s="161">
        <v>0</v>
      </c>
      <c r="AD200" s="148">
        <f t="shared" si="107"/>
        <v>0</v>
      </c>
    </row>
    <row r="201" spans="1:30" ht="22.5">
      <c r="A201" s="20">
        <v>61</v>
      </c>
      <c r="B201" s="37" t="s">
        <v>111</v>
      </c>
      <c r="C201" s="24" t="s">
        <v>137</v>
      </c>
      <c r="D201" s="53" t="s">
        <v>112</v>
      </c>
      <c r="E201" s="26">
        <f>F202</f>
        <v>22452.179</v>
      </c>
      <c r="F201" s="27">
        <f>F202</f>
        <v>22452.179</v>
      </c>
      <c r="G201" s="28">
        <f>G202</f>
        <v>0</v>
      </c>
      <c r="H201" s="28">
        <f>H202</f>
        <v>0</v>
      </c>
      <c r="I201" s="28">
        <f t="shared" si="135"/>
        <v>10453.909</v>
      </c>
      <c r="J201" s="27">
        <f>J202</f>
        <v>0</v>
      </c>
      <c r="K201" s="27">
        <f t="shared" ref="K201:Q201" si="143">K202</f>
        <v>0</v>
      </c>
      <c r="L201" s="27">
        <f t="shared" si="143"/>
        <v>0</v>
      </c>
      <c r="M201" s="27">
        <f t="shared" si="143"/>
        <v>739</v>
      </c>
      <c r="N201" s="85">
        <f t="shared" si="143"/>
        <v>3812.6689999999999</v>
      </c>
      <c r="O201" s="85">
        <f t="shared" si="143"/>
        <v>5902.24</v>
      </c>
      <c r="P201" s="85">
        <f t="shared" si="143"/>
        <v>11383.92</v>
      </c>
      <c r="Q201" s="85">
        <f t="shared" si="143"/>
        <v>614.35</v>
      </c>
      <c r="R201" s="118">
        <f t="shared" si="137"/>
        <v>0</v>
      </c>
      <c r="S201" s="85">
        <f>S202</f>
        <v>0</v>
      </c>
      <c r="T201" s="85">
        <f t="shared" ref="T201:AC201" si="144">T202</f>
        <v>0</v>
      </c>
      <c r="U201" s="85">
        <f t="shared" si="144"/>
        <v>0</v>
      </c>
      <c r="V201" s="85">
        <f t="shared" si="144"/>
        <v>0</v>
      </c>
      <c r="W201" s="85">
        <f t="shared" si="144"/>
        <v>0</v>
      </c>
      <c r="X201" s="85">
        <f t="shared" si="144"/>
        <v>0</v>
      </c>
      <c r="Y201" s="85">
        <f t="shared" si="144"/>
        <v>0</v>
      </c>
      <c r="Z201" s="85">
        <f t="shared" si="144"/>
        <v>0</v>
      </c>
      <c r="AA201" s="85">
        <f t="shared" si="144"/>
        <v>0</v>
      </c>
      <c r="AB201" s="85">
        <f t="shared" si="144"/>
        <v>0</v>
      </c>
      <c r="AC201" s="150">
        <f t="shared" si="144"/>
        <v>0</v>
      </c>
      <c r="AD201" s="146">
        <f t="shared" si="107"/>
        <v>11998.27</v>
      </c>
    </row>
    <row r="202" spans="1:30">
      <c r="A202" s="40"/>
      <c r="B202" s="10" t="s">
        <v>31</v>
      </c>
      <c r="C202" s="30"/>
      <c r="D202" s="31"/>
      <c r="E202" s="32"/>
      <c r="F202" s="33">
        <f>H202+I202+AD202</f>
        <v>22452.179</v>
      </c>
      <c r="G202" s="34">
        <v>0</v>
      </c>
      <c r="H202" s="33">
        <v>0</v>
      </c>
      <c r="I202" s="33">
        <f t="shared" si="135"/>
        <v>10453.909</v>
      </c>
      <c r="J202" s="33">
        <v>0</v>
      </c>
      <c r="K202" s="33">
        <v>0</v>
      </c>
      <c r="L202" s="33">
        <v>0</v>
      </c>
      <c r="M202" s="33">
        <v>739</v>
      </c>
      <c r="N202" s="86">
        <v>3812.6689999999999</v>
      </c>
      <c r="O202" s="86">
        <v>5902.24</v>
      </c>
      <c r="P202" s="86">
        <v>11383.92</v>
      </c>
      <c r="Q202" s="87">
        <v>614.35</v>
      </c>
      <c r="R202" s="119">
        <f t="shared" si="137"/>
        <v>0</v>
      </c>
      <c r="S202" s="87">
        <v>0</v>
      </c>
      <c r="T202" s="87">
        <v>0</v>
      </c>
      <c r="U202" s="87">
        <v>0</v>
      </c>
      <c r="V202" s="87">
        <v>0</v>
      </c>
      <c r="W202" s="87">
        <v>0</v>
      </c>
      <c r="X202" s="87">
        <v>0</v>
      </c>
      <c r="Y202" s="87">
        <v>0</v>
      </c>
      <c r="Z202" s="87">
        <v>0</v>
      </c>
      <c r="AA202" s="87">
        <v>0</v>
      </c>
      <c r="AB202" s="87">
        <v>0</v>
      </c>
      <c r="AC202" s="161">
        <v>0</v>
      </c>
      <c r="AD202" s="148">
        <f t="shared" si="107"/>
        <v>11998.27</v>
      </c>
    </row>
    <row r="203" spans="1:30" ht="22.5">
      <c r="A203" s="20">
        <v>62</v>
      </c>
      <c r="B203" s="37" t="s">
        <v>138</v>
      </c>
      <c r="C203" s="24" t="s">
        <v>139</v>
      </c>
      <c r="D203" s="25" t="s">
        <v>86</v>
      </c>
      <c r="E203" s="26">
        <f>F204</f>
        <v>7933.1949999999997</v>
      </c>
      <c r="F203" s="27">
        <f>F204</f>
        <v>7933.1949999999997</v>
      </c>
      <c r="G203" s="28">
        <f>G204</f>
        <v>0</v>
      </c>
      <c r="H203" s="28">
        <f>H204</f>
        <v>714.9</v>
      </c>
      <c r="I203" s="28">
        <f t="shared" si="135"/>
        <v>5918.2950000000001</v>
      </c>
      <c r="J203" s="27">
        <f>J204</f>
        <v>714.9</v>
      </c>
      <c r="K203" s="27">
        <f t="shared" ref="K203:Q203" si="145">K204</f>
        <v>934.5</v>
      </c>
      <c r="L203" s="27">
        <f t="shared" si="145"/>
        <v>2160.5880000000002</v>
      </c>
      <c r="M203" s="27">
        <f t="shared" si="145"/>
        <v>2073.2069999999999</v>
      </c>
      <c r="N203" s="85">
        <f t="shared" si="145"/>
        <v>500</v>
      </c>
      <c r="O203" s="85">
        <f t="shared" si="145"/>
        <v>250</v>
      </c>
      <c r="P203" s="85">
        <f t="shared" si="145"/>
        <v>1300</v>
      </c>
      <c r="Q203" s="85">
        <f t="shared" si="145"/>
        <v>0</v>
      </c>
      <c r="R203" s="118">
        <f t="shared" si="137"/>
        <v>0</v>
      </c>
      <c r="S203" s="85">
        <f>S204</f>
        <v>0</v>
      </c>
      <c r="T203" s="85">
        <f t="shared" ref="T203:AC203" si="146">T204</f>
        <v>0</v>
      </c>
      <c r="U203" s="85">
        <f t="shared" si="146"/>
        <v>0</v>
      </c>
      <c r="V203" s="85">
        <f t="shared" si="146"/>
        <v>0</v>
      </c>
      <c r="W203" s="85">
        <f t="shared" si="146"/>
        <v>0</v>
      </c>
      <c r="X203" s="85">
        <f t="shared" si="146"/>
        <v>0</v>
      </c>
      <c r="Y203" s="85">
        <f t="shared" si="146"/>
        <v>0</v>
      </c>
      <c r="Z203" s="85">
        <f t="shared" si="146"/>
        <v>0</v>
      </c>
      <c r="AA203" s="85">
        <f t="shared" si="146"/>
        <v>0</v>
      </c>
      <c r="AB203" s="85">
        <f t="shared" si="146"/>
        <v>0</v>
      </c>
      <c r="AC203" s="150">
        <f t="shared" si="146"/>
        <v>0</v>
      </c>
      <c r="AD203" s="146">
        <f t="shared" si="107"/>
        <v>1300</v>
      </c>
    </row>
    <row r="204" spans="1:30">
      <c r="A204" s="40"/>
      <c r="B204" s="10" t="s">
        <v>31</v>
      </c>
      <c r="C204" s="30"/>
      <c r="D204" s="31"/>
      <c r="E204" s="32"/>
      <c r="F204" s="33">
        <f>H204+I204+AD204</f>
        <v>7933.1949999999997</v>
      </c>
      <c r="G204" s="34">
        <v>0</v>
      </c>
      <c r="H204" s="33">
        <v>714.9</v>
      </c>
      <c r="I204" s="33">
        <f t="shared" si="135"/>
        <v>5918.2950000000001</v>
      </c>
      <c r="J204" s="33">
        <v>714.9</v>
      </c>
      <c r="K204" s="33">
        <v>934.5</v>
      </c>
      <c r="L204" s="33">
        <v>2160.5880000000002</v>
      </c>
      <c r="M204" s="35">
        <v>2073.2069999999999</v>
      </c>
      <c r="N204" s="87">
        <v>500</v>
      </c>
      <c r="O204" s="87">
        <v>250</v>
      </c>
      <c r="P204" s="87">
        <v>1300</v>
      </c>
      <c r="Q204" s="87"/>
      <c r="R204" s="119">
        <f t="shared" si="137"/>
        <v>0</v>
      </c>
      <c r="S204" s="87">
        <v>0</v>
      </c>
      <c r="T204" s="87">
        <v>0</v>
      </c>
      <c r="U204" s="87">
        <v>0</v>
      </c>
      <c r="V204" s="87">
        <v>0</v>
      </c>
      <c r="W204" s="87">
        <v>0</v>
      </c>
      <c r="X204" s="87">
        <v>0</v>
      </c>
      <c r="Y204" s="87">
        <v>0</v>
      </c>
      <c r="Z204" s="87">
        <v>0</v>
      </c>
      <c r="AA204" s="87">
        <v>0</v>
      </c>
      <c r="AB204" s="87">
        <v>0</v>
      </c>
      <c r="AC204" s="161">
        <v>0</v>
      </c>
      <c r="AD204" s="148">
        <f t="shared" si="107"/>
        <v>1300</v>
      </c>
    </row>
    <row r="205" spans="1:30">
      <c r="A205" s="54" t="s">
        <v>140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95"/>
      <c r="O205" s="95"/>
      <c r="P205" s="95"/>
      <c r="Q205" s="95"/>
      <c r="R205" s="120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166"/>
      <c r="AD205" s="151">
        <f t="shared" si="107"/>
        <v>0</v>
      </c>
    </row>
    <row r="206" spans="1:30" ht="22.5">
      <c r="A206" s="20">
        <v>63</v>
      </c>
      <c r="B206" s="37" t="s">
        <v>141</v>
      </c>
      <c r="C206" s="24" t="s">
        <v>142</v>
      </c>
      <c r="D206" s="25" t="s">
        <v>379</v>
      </c>
      <c r="E206" s="26">
        <f>F207</f>
        <v>18611.847999999998</v>
      </c>
      <c r="F206" s="27">
        <f>F207</f>
        <v>18611.847999999998</v>
      </c>
      <c r="G206" s="28">
        <f>G207</f>
        <v>15502.018</v>
      </c>
      <c r="H206" s="28">
        <f>H207</f>
        <v>16502.018</v>
      </c>
      <c r="I206" s="28">
        <f t="shared" ref="I206:I219" si="147">SUM(K206:O206)</f>
        <v>2109.83</v>
      </c>
      <c r="J206" s="27">
        <f>J207</f>
        <v>1000</v>
      </c>
      <c r="K206" s="27">
        <f t="shared" ref="K206:Q206" si="148">K207</f>
        <v>749.83</v>
      </c>
      <c r="L206" s="27">
        <f t="shared" si="148"/>
        <v>650</v>
      </c>
      <c r="M206" s="27">
        <f t="shared" si="148"/>
        <v>400</v>
      </c>
      <c r="N206" s="85">
        <f t="shared" si="148"/>
        <v>310</v>
      </c>
      <c r="O206" s="85">
        <f t="shared" si="148"/>
        <v>0</v>
      </c>
      <c r="P206" s="85">
        <f t="shared" si="148"/>
        <v>0</v>
      </c>
      <c r="Q206" s="85">
        <f t="shared" si="148"/>
        <v>0</v>
      </c>
      <c r="R206" s="118">
        <f t="shared" ref="R206:R219" si="149">SUM(S206:AC206)</f>
        <v>0</v>
      </c>
      <c r="S206" s="85">
        <f>S207</f>
        <v>0</v>
      </c>
      <c r="T206" s="85">
        <f t="shared" ref="T206:AC206" si="150">T207</f>
        <v>0</v>
      </c>
      <c r="U206" s="85">
        <f t="shared" si="150"/>
        <v>0</v>
      </c>
      <c r="V206" s="85">
        <f t="shared" si="150"/>
        <v>0</v>
      </c>
      <c r="W206" s="85">
        <f t="shared" si="150"/>
        <v>0</v>
      </c>
      <c r="X206" s="85">
        <f t="shared" si="150"/>
        <v>0</v>
      </c>
      <c r="Y206" s="85">
        <f t="shared" si="150"/>
        <v>0</v>
      </c>
      <c r="Z206" s="85">
        <f t="shared" si="150"/>
        <v>0</v>
      </c>
      <c r="AA206" s="85">
        <f t="shared" si="150"/>
        <v>0</v>
      </c>
      <c r="AB206" s="85">
        <f t="shared" si="150"/>
        <v>0</v>
      </c>
      <c r="AC206" s="150">
        <f t="shared" si="150"/>
        <v>0</v>
      </c>
      <c r="AD206" s="146">
        <f t="shared" si="107"/>
        <v>0</v>
      </c>
    </row>
    <row r="207" spans="1:30">
      <c r="A207" s="40"/>
      <c r="B207" s="10" t="s">
        <v>31</v>
      </c>
      <c r="C207" s="30"/>
      <c r="D207" s="31"/>
      <c r="E207" s="32"/>
      <c r="F207" s="33">
        <f>H207+I207+AD207</f>
        <v>18611.847999999998</v>
      </c>
      <c r="G207" s="34">
        <v>15502.018</v>
      </c>
      <c r="H207" s="33">
        <v>16502.018</v>
      </c>
      <c r="I207" s="33">
        <f t="shared" si="147"/>
        <v>2109.83</v>
      </c>
      <c r="J207" s="33">
        <v>1000</v>
      </c>
      <c r="K207" s="33">
        <v>749.83</v>
      </c>
      <c r="L207" s="33">
        <v>650</v>
      </c>
      <c r="M207" s="35">
        <f>1481-1081</f>
        <v>400</v>
      </c>
      <c r="N207" s="87">
        <v>310</v>
      </c>
      <c r="O207" s="87">
        <v>0</v>
      </c>
      <c r="P207" s="87">
        <v>0</v>
      </c>
      <c r="Q207" s="87">
        <v>0</v>
      </c>
      <c r="R207" s="119">
        <f t="shared" si="149"/>
        <v>0</v>
      </c>
      <c r="S207" s="87">
        <v>0</v>
      </c>
      <c r="T207" s="87">
        <v>0</v>
      </c>
      <c r="U207" s="87">
        <v>0</v>
      </c>
      <c r="V207" s="87">
        <v>0</v>
      </c>
      <c r="W207" s="87">
        <v>0</v>
      </c>
      <c r="X207" s="87">
        <v>0</v>
      </c>
      <c r="Y207" s="87">
        <v>0</v>
      </c>
      <c r="Z207" s="87">
        <v>0</v>
      </c>
      <c r="AA207" s="87">
        <v>0</v>
      </c>
      <c r="AB207" s="87">
        <v>0</v>
      </c>
      <c r="AC207" s="161">
        <v>0</v>
      </c>
      <c r="AD207" s="148">
        <f t="shared" si="107"/>
        <v>0</v>
      </c>
    </row>
    <row r="208" spans="1:30" ht="29.25">
      <c r="A208" s="20">
        <v>64</v>
      </c>
      <c r="B208" s="37" t="s">
        <v>144</v>
      </c>
      <c r="C208" s="24" t="s">
        <v>145</v>
      </c>
      <c r="D208" s="25" t="s">
        <v>380</v>
      </c>
      <c r="E208" s="26">
        <f>F209</f>
        <v>62480.926000000007</v>
      </c>
      <c r="F208" s="27">
        <f>F209</f>
        <v>62480.926000000007</v>
      </c>
      <c r="G208" s="28">
        <f>G209</f>
        <v>15329.906000000001</v>
      </c>
      <c r="H208" s="28">
        <f>H209</f>
        <v>18697.406000000003</v>
      </c>
      <c r="I208" s="28">
        <f t="shared" si="147"/>
        <v>32689.786</v>
      </c>
      <c r="J208" s="27">
        <f>J209</f>
        <v>3367.5</v>
      </c>
      <c r="K208" s="27">
        <f t="shared" ref="K208:Q208" si="151">K209</f>
        <v>3919.9679999999998</v>
      </c>
      <c r="L208" s="27">
        <f t="shared" si="151"/>
        <v>3067.3719999999998</v>
      </c>
      <c r="M208" s="27">
        <f t="shared" si="151"/>
        <v>17793.811000000002</v>
      </c>
      <c r="N208" s="85">
        <f t="shared" si="151"/>
        <v>6148.4930000000004</v>
      </c>
      <c r="O208" s="85">
        <f t="shared" si="151"/>
        <v>1760.1420000000001</v>
      </c>
      <c r="P208" s="85">
        <f t="shared" si="151"/>
        <v>8043.7340000000004</v>
      </c>
      <c r="Q208" s="85">
        <f t="shared" si="151"/>
        <v>950</v>
      </c>
      <c r="R208" s="118">
        <f t="shared" si="149"/>
        <v>2100</v>
      </c>
      <c r="S208" s="85">
        <f>S209</f>
        <v>800</v>
      </c>
      <c r="T208" s="85">
        <f t="shared" ref="T208:AC208" si="152">T209</f>
        <v>800</v>
      </c>
      <c r="U208" s="85">
        <f t="shared" si="152"/>
        <v>500</v>
      </c>
      <c r="V208" s="85">
        <f t="shared" si="152"/>
        <v>0</v>
      </c>
      <c r="W208" s="85">
        <f t="shared" si="152"/>
        <v>0</v>
      </c>
      <c r="X208" s="85">
        <f t="shared" si="152"/>
        <v>0</v>
      </c>
      <c r="Y208" s="85">
        <f t="shared" si="152"/>
        <v>0</v>
      </c>
      <c r="Z208" s="85">
        <f t="shared" si="152"/>
        <v>0</v>
      </c>
      <c r="AA208" s="85">
        <f t="shared" si="152"/>
        <v>0</v>
      </c>
      <c r="AB208" s="85">
        <f t="shared" si="152"/>
        <v>0</v>
      </c>
      <c r="AC208" s="150">
        <f t="shared" si="152"/>
        <v>0</v>
      </c>
      <c r="AD208" s="146">
        <f t="shared" si="107"/>
        <v>11093.734</v>
      </c>
    </row>
    <row r="209" spans="1:30">
      <c r="A209" s="40"/>
      <c r="B209" s="10" t="s">
        <v>31</v>
      </c>
      <c r="C209" s="30"/>
      <c r="D209" s="31"/>
      <c r="E209" s="32"/>
      <c r="F209" s="33">
        <f>H209+I209+AD209</f>
        <v>62480.926000000007</v>
      </c>
      <c r="G209" s="34">
        <v>15329.906000000001</v>
      </c>
      <c r="H209" s="33">
        <v>18697.406000000003</v>
      </c>
      <c r="I209" s="33">
        <f t="shared" si="147"/>
        <v>32689.786</v>
      </c>
      <c r="J209" s="33">
        <v>3367.5</v>
      </c>
      <c r="K209" s="33">
        <v>3919.9679999999998</v>
      </c>
      <c r="L209" s="33">
        <v>3067.3719999999998</v>
      </c>
      <c r="M209" s="35">
        <v>17793.811000000002</v>
      </c>
      <c r="N209" s="87">
        <f>2670.273+3478.22</f>
        <v>6148.4930000000004</v>
      </c>
      <c r="O209" s="87">
        <v>1760.1420000000001</v>
      </c>
      <c r="P209" s="87">
        <v>8043.7340000000004</v>
      </c>
      <c r="Q209" s="87">
        <v>950</v>
      </c>
      <c r="R209" s="119">
        <f t="shared" si="149"/>
        <v>2100</v>
      </c>
      <c r="S209" s="87">
        <v>800</v>
      </c>
      <c r="T209" s="87">
        <v>800</v>
      </c>
      <c r="U209" s="87">
        <v>500</v>
      </c>
      <c r="V209" s="87">
        <v>0</v>
      </c>
      <c r="W209" s="87">
        <v>0</v>
      </c>
      <c r="X209" s="87">
        <v>0</v>
      </c>
      <c r="Y209" s="87">
        <v>0</v>
      </c>
      <c r="Z209" s="87">
        <v>0</v>
      </c>
      <c r="AA209" s="87">
        <v>0</v>
      </c>
      <c r="AB209" s="87">
        <v>0</v>
      </c>
      <c r="AC209" s="161">
        <v>0</v>
      </c>
      <c r="AD209" s="148">
        <f t="shared" si="107"/>
        <v>11093.734</v>
      </c>
    </row>
    <row r="210" spans="1:30" ht="22.5">
      <c r="A210" s="20">
        <v>65</v>
      </c>
      <c r="B210" s="37" t="s">
        <v>146</v>
      </c>
      <c r="C210" s="24" t="s">
        <v>147</v>
      </c>
      <c r="D210" s="25" t="s">
        <v>381</v>
      </c>
      <c r="E210" s="26">
        <f>F211</f>
        <v>32192.649000000001</v>
      </c>
      <c r="F210" s="27">
        <f>F211+F212</f>
        <v>44331.911</v>
      </c>
      <c r="G210" s="27">
        <f>G211+G212</f>
        <v>12669.475</v>
      </c>
      <c r="H210" s="27">
        <f>H211+H212</f>
        <v>12887.134</v>
      </c>
      <c r="I210" s="28">
        <f t="shared" si="147"/>
        <v>25503.756999999998</v>
      </c>
      <c r="J210" s="27">
        <f t="shared" ref="J210:Q210" si="153">J211+J212</f>
        <v>217.65899999999999</v>
      </c>
      <c r="K210" s="27">
        <f t="shared" si="153"/>
        <v>2172</v>
      </c>
      <c r="L210" s="27">
        <f t="shared" si="153"/>
        <v>515.61599999999999</v>
      </c>
      <c r="M210" s="27">
        <f t="shared" si="153"/>
        <v>4027.364</v>
      </c>
      <c r="N210" s="85">
        <f>N211+N212</f>
        <v>5430.5349999999999</v>
      </c>
      <c r="O210" s="85">
        <f t="shared" si="153"/>
        <v>13358.241999999998</v>
      </c>
      <c r="P210" s="85">
        <f t="shared" si="153"/>
        <v>5941.02</v>
      </c>
      <c r="Q210" s="85">
        <f t="shared" si="153"/>
        <v>0</v>
      </c>
      <c r="R210" s="118">
        <f t="shared" si="149"/>
        <v>0</v>
      </c>
      <c r="S210" s="85">
        <f>S211+S212</f>
        <v>0</v>
      </c>
      <c r="T210" s="85">
        <f t="shared" ref="T210:AC210" si="154">T211+T212</f>
        <v>0</v>
      </c>
      <c r="U210" s="85">
        <f t="shared" si="154"/>
        <v>0</v>
      </c>
      <c r="V210" s="85">
        <f t="shared" si="154"/>
        <v>0</v>
      </c>
      <c r="W210" s="85">
        <f t="shared" si="154"/>
        <v>0</v>
      </c>
      <c r="X210" s="85">
        <f t="shared" si="154"/>
        <v>0</v>
      </c>
      <c r="Y210" s="85">
        <f t="shared" si="154"/>
        <v>0</v>
      </c>
      <c r="Z210" s="85">
        <f t="shared" si="154"/>
        <v>0</v>
      </c>
      <c r="AA210" s="85">
        <f t="shared" si="154"/>
        <v>0</v>
      </c>
      <c r="AB210" s="85">
        <f t="shared" si="154"/>
        <v>0</v>
      </c>
      <c r="AC210" s="150">
        <f t="shared" si="154"/>
        <v>0</v>
      </c>
      <c r="AD210" s="146">
        <f t="shared" si="107"/>
        <v>5941.02</v>
      </c>
    </row>
    <row r="211" spans="1:30">
      <c r="A211" s="40"/>
      <c r="B211" s="10" t="s">
        <v>31</v>
      </c>
      <c r="C211" s="30"/>
      <c r="D211" s="31"/>
      <c r="E211" s="32"/>
      <c r="F211" s="33">
        <f>H211+I211+AD211</f>
        <v>32192.649000000001</v>
      </c>
      <c r="G211" s="34">
        <v>12168.475</v>
      </c>
      <c r="H211" s="33">
        <v>12386.134</v>
      </c>
      <c r="I211" s="33">
        <f t="shared" si="147"/>
        <v>13865.494999999999</v>
      </c>
      <c r="J211" s="33">
        <v>217.65899999999999</v>
      </c>
      <c r="K211" s="33">
        <v>722</v>
      </c>
      <c r="L211" s="33">
        <v>515.61599999999999</v>
      </c>
      <c r="M211" s="33">
        <v>1727.364</v>
      </c>
      <c r="N211" s="86">
        <v>2918.5349999999999</v>
      </c>
      <c r="O211" s="87">
        <v>7981.98</v>
      </c>
      <c r="P211" s="87">
        <v>5941.02</v>
      </c>
      <c r="Q211" s="87">
        <v>0</v>
      </c>
      <c r="R211" s="119">
        <f t="shared" si="149"/>
        <v>0</v>
      </c>
      <c r="S211" s="87">
        <v>0</v>
      </c>
      <c r="T211" s="87">
        <v>0</v>
      </c>
      <c r="U211" s="87">
        <v>0</v>
      </c>
      <c r="V211" s="87">
        <v>0</v>
      </c>
      <c r="W211" s="87">
        <v>0</v>
      </c>
      <c r="X211" s="87">
        <v>0</v>
      </c>
      <c r="Y211" s="87">
        <v>0</v>
      </c>
      <c r="Z211" s="87">
        <v>0</v>
      </c>
      <c r="AA211" s="87">
        <v>0</v>
      </c>
      <c r="AB211" s="87">
        <v>0</v>
      </c>
      <c r="AC211" s="161">
        <v>0</v>
      </c>
      <c r="AD211" s="148">
        <f t="shared" si="107"/>
        <v>5941.02</v>
      </c>
    </row>
    <row r="212" spans="1:30">
      <c r="A212" s="40"/>
      <c r="B212" s="10" t="s">
        <v>148</v>
      </c>
      <c r="C212" s="30"/>
      <c r="D212" s="31"/>
      <c r="E212" s="32"/>
      <c r="F212" s="33">
        <f>H212+I212+AD212</f>
        <v>12139.261999999999</v>
      </c>
      <c r="G212" s="34">
        <v>501</v>
      </c>
      <c r="H212" s="33">
        <v>501</v>
      </c>
      <c r="I212" s="33">
        <f t="shared" si="147"/>
        <v>11638.261999999999</v>
      </c>
      <c r="J212" s="34">
        <v>0</v>
      </c>
      <c r="K212" s="34">
        <v>1450</v>
      </c>
      <c r="L212" s="34">
        <v>0</v>
      </c>
      <c r="M212" s="34">
        <v>2300</v>
      </c>
      <c r="N212" s="93">
        <v>2512</v>
      </c>
      <c r="O212" s="92">
        <v>5376.2619999999997</v>
      </c>
      <c r="P212" s="92">
        <v>0</v>
      </c>
      <c r="Q212" s="92">
        <v>0</v>
      </c>
      <c r="R212" s="119">
        <f t="shared" si="149"/>
        <v>0</v>
      </c>
      <c r="S212" s="92">
        <v>0</v>
      </c>
      <c r="T212" s="92">
        <v>0</v>
      </c>
      <c r="U212" s="92">
        <v>0</v>
      </c>
      <c r="V212" s="92">
        <v>0</v>
      </c>
      <c r="W212" s="92">
        <v>0</v>
      </c>
      <c r="X212" s="92">
        <v>0</v>
      </c>
      <c r="Y212" s="92">
        <v>0</v>
      </c>
      <c r="Z212" s="92">
        <v>0</v>
      </c>
      <c r="AA212" s="92">
        <v>0</v>
      </c>
      <c r="AB212" s="92">
        <v>0</v>
      </c>
      <c r="AC212" s="164">
        <v>0</v>
      </c>
      <c r="AD212" s="148">
        <f t="shared" si="107"/>
        <v>0</v>
      </c>
    </row>
    <row r="213" spans="1:30" ht="33.75">
      <c r="A213" s="51">
        <v>66</v>
      </c>
      <c r="B213" s="37" t="s">
        <v>149</v>
      </c>
      <c r="C213" s="24" t="s">
        <v>150</v>
      </c>
      <c r="D213" s="47" t="s">
        <v>105</v>
      </c>
      <c r="E213" s="26">
        <f>F214</f>
        <v>600</v>
      </c>
      <c r="F213" s="27">
        <f>F214+F215</f>
        <v>4000</v>
      </c>
      <c r="G213" s="27">
        <f>G214+G215</f>
        <v>0</v>
      </c>
      <c r="H213" s="27">
        <f>H214+H215</f>
        <v>0</v>
      </c>
      <c r="I213" s="28">
        <f t="shared" si="147"/>
        <v>730.43700000000001</v>
      </c>
      <c r="J213" s="27">
        <f t="shared" ref="J213:Q213" si="155">J214+J215</f>
        <v>0</v>
      </c>
      <c r="K213" s="27">
        <f t="shared" si="155"/>
        <v>0</v>
      </c>
      <c r="L213" s="27">
        <f t="shared" si="155"/>
        <v>0</v>
      </c>
      <c r="M213" s="27">
        <f t="shared" si="155"/>
        <v>0</v>
      </c>
      <c r="N213" s="85">
        <f t="shared" si="155"/>
        <v>0</v>
      </c>
      <c r="O213" s="85">
        <f t="shared" si="155"/>
        <v>730.43700000000001</v>
      </c>
      <c r="P213" s="85">
        <f t="shared" si="155"/>
        <v>3269.5630000000001</v>
      </c>
      <c r="Q213" s="85">
        <f t="shared" si="155"/>
        <v>0</v>
      </c>
      <c r="R213" s="118">
        <f t="shared" si="149"/>
        <v>0</v>
      </c>
      <c r="S213" s="85">
        <f>S214+S215</f>
        <v>0</v>
      </c>
      <c r="T213" s="85">
        <f t="shared" ref="T213:AC213" si="156">T214+T215</f>
        <v>0</v>
      </c>
      <c r="U213" s="85">
        <f t="shared" si="156"/>
        <v>0</v>
      </c>
      <c r="V213" s="85">
        <f t="shared" si="156"/>
        <v>0</v>
      </c>
      <c r="W213" s="85">
        <f t="shared" si="156"/>
        <v>0</v>
      </c>
      <c r="X213" s="85">
        <f t="shared" si="156"/>
        <v>0</v>
      </c>
      <c r="Y213" s="85">
        <f t="shared" si="156"/>
        <v>0</v>
      </c>
      <c r="Z213" s="85">
        <f t="shared" si="156"/>
        <v>0</v>
      </c>
      <c r="AA213" s="85">
        <f t="shared" si="156"/>
        <v>0</v>
      </c>
      <c r="AB213" s="85">
        <f t="shared" si="156"/>
        <v>0</v>
      </c>
      <c r="AC213" s="150">
        <f t="shared" si="156"/>
        <v>0</v>
      </c>
      <c r="AD213" s="146">
        <f t="shared" si="107"/>
        <v>3269.5630000000001</v>
      </c>
    </row>
    <row r="214" spans="1:30">
      <c r="A214" s="40"/>
      <c r="B214" s="10" t="s">
        <v>31</v>
      </c>
      <c r="C214" s="30"/>
      <c r="D214" s="31"/>
      <c r="E214" s="32"/>
      <c r="F214" s="33">
        <f>H214+I214+AD214</f>
        <v>600</v>
      </c>
      <c r="G214" s="34">
        <v>0</v>
      </c>
      <c r="H214" s="33">
        <v>0</v>
      </c>
      <c r="I214" s="33">
        <f t="shared" si="147"/>
        <v>109.566</v>
      </c>
      <c r="J214" s="33">
        <v>0</v>
      </c>
      <c r="K214" s="33">
        <v>0</v>
      </c>
      <c r="L214" s="33">
        <v>0</v>
      </c>
      <c r="M214" s="11">
        <v>0</v>
      </c>
      <c r="N214" s="87">
        <v>0</v>
      </c>
      <c r="O214" s="87">
        <v>109.566</v>
      </c>
      <c r="P214" s="87">
        <v>490.43400000000003</v>
      </c>
      <c r="Q214" s="87">
        <v>0</v>
      </c>
      <c r="R214" s="119">
        <f t="shared" si="149"/>
        <v>0</v>
      </c>
      <c r="S214" s="87">
        <v>0</v>
      </c>
      <c r="T214" s="87">
        <v>0</v>
      </c>
      <c r="U214" s="87">
        <v>0</v>
      </c>
      <c r="V214" s="87">
        <v>0</v>
      </c>
      <c r="W214" s="87">
        <v>0</v>
      </c>
      <c r="X214" s="87">
        <v>0</v>
      </c>
      <c r="Y214" s="87">
        <v>0</v>
      </c>
      <c r="Z214" s="87">
        <v>0</v>
      </c>
      <c r="AA214" s="87">
        <v>0</v>
      </c>
      <c r="AB214" s="87">
        <v>0</v>
      </c>
      <c r="AC214" s="161">
        <v>0</v>
      </c>
      <c r="AD214" s="148">
        <f t="shared" si="107"/>
        <v>490.43400000000003</v>
      </c>
    </row>
    <row r="215" spans="1:30">
      <c r="A215" s="40"/>
      <c r="B215" s="38" t="s">
        <v>41</v>
      </c>
      <c r="C215" s="30"/>
      <c r="D215" s="31"/>
      <c r="E215" s="32"/>
      <c r="F215" s="33">
        <f>H215+I215+AD215</f>
        <v>3400</v>
      </c>
      <c r="G215" s="34">
        <v>0</v>
      </c>
      <c r="H215" s="33">
        <v>0</v>
      </c>
      <c r="I215" s="33">
        <f t="shared" si="147"/>
        <v>620.87099999999998</v>
      </c>
      <c r="J215" s="33">
        <v>0</v>
      </c>
      <c r="K215" s="33">
        <v>0</v>
      </c>
      <c r="L215" s="33">
        <v>0</v>
      </c>
      <c r="M215" s="9">
        <v>0</v>
      </c>
      <c r="N215" s="87">
        <v>0</v>
      </c>
      <c r="O215" s="87">
        <v>620.87099999999998</v>
      </c>
      <c r="P215" s="87">
        <v>2779.1289999999999</v>
      </c>
      <c r="Q215" s="87">
        <v>0</v>
      </c>
      <c r="R215" s="119">
        <f t="shared" si="149"/>
        <v>0</v>
      </c>
      <c r="S215" s="87">
        <v>0</v>
      </c>
      <c r="T215" s="87">
        <v>0</v>
      </c>
      <c r="U215" s="87">
        <v>0</v>
      </c>
      <c r="V215" s="87">
        <v>0</v>
      </c>
      <c r="W215" s="87">
        <v>0</v>
      </c>
      <c r="X215" s="87">
        <v>0</v>
      </c>
      <c r="Y215" s="87">
        <v>0</v>
      </c>
      <c r="Z215" s="87">
        <v>0</v>
      </c>
      <c r="AA215" s="87">
        <v>0</v>
      </c>
      <c r="AB215" s="87">
        <v>0</v>
      </c>
      <c r="AC215" s="161">
        <v>0</v>
      </c>
      <c r="AD215" s="148">
        <f t="shared" si="107"/>
        <v>2779.1289999999999</v>
      </c>
    </row>
    <row r="216" spans="1:30" ht="22.5">
      <c r="A216" s="20">
        <v>67</v>
      </c>
      <c r="B216" s="37" t="s">
        <v>152</v>
      </c>
      <c r="C216" s="24" t="s">
        <v>153</v>
      </c>
      <c r="D216" s="47" t="s">
        <v>245</v>
      </c>
      <c r="E216" s="26">
        <f>F217</f>
        <v>188.88</v>
      </c>
      <c r="F216" s="27">
        <f>F217</f>
        <v>188.88</v>
      </c>
      <c r="G216" s="28">
        <f>G217</f>
        <v>0</v>
      </c>
      <c r="H216" s="28">
        <f>H217</f>
        <v>2.68</v>
      </c>
      <c r="I216" s="28">
        <f t="shared" si="147"/>
        <v>186.2</v>
      </c>
      <c r="J216" s="27">
        <f>J217</f>
        <v>2.68</v>
      </c>
      <c r="K216" s="27">
        <f t="shared" ref="K216:Q216" si="157">K217</f>
        <v>0</v>
      </c>
      <c r="L216" s="27">
        <f t="shared" si="157"/>
        <v>0</v>
      </c>
      <c r="M216" s="27">
        <f t="shared" si="157"/>
        <v>33</v>
      </c>
      <c r="N216" s="85">
        <f t="shared" si="157"/>
        <v>153.19999999999999</v>
      </c>
      <c r="O216" s="85">
        <f t="shared" si="157"/>
        <v>0</v>
      </c>
      <c r="P216" s="88">
        <f t="shared" si="157"/>
        <v>0</v>
      </c>
      <c r="Q216" s="85">
        <f t="shared" si="157"/>
        <v>0</v>
      </c>
      <c r="R216" s="118">
        <f t="shared" si="149"/>
        <v>0</v>
      </c>
      <c r="S216" s="85">
        <f>S217</f>
        <v>0</v>
      </c>
      <c r="T216" s="85">
        <v>0</v>
      </c>
      <c r="U216" s="85">
        <v>0</v>
      </c>
      <c r="V216" s="85">
        <v>0</v>
      </c>
      <c r="W216" s="85">
        <v>0</v>
      </c>
      <c r="X216" s="85">
        <v>0</v>
      </c>
      <c r="Y216" s="85">
        <v>0</v>
      </c>
      <c r="Z216" s="85">
        <v>0</v>
      </c>
      <c r="AA216" s="85">
        <v>0</v>
      </c>
      <c r="AB216" s="85">
        <v>0</v>
      </c>
      <c r="AC216" s="150">
        <v>0</v>
      </c>
      <c r="AD216" s="146">
        <f t="shared" si="107"/>
        <v>0</v>
      </c>
    </row>
    <row r="217" spans="1:30">
      <c r="A217" s="40"/>
      <c r="B217" s="10" t="s">
        <v>31</v>
      </c>
      <c r="C217" s="30"/>
      <c r="D217" s="31"/>
      <c r="E217" s="32"/>
      <c r="F217" s="33">
        <f>H217+I217+AD217</f>
        <v>188.88</v>
      </c>
      <c r="G217" s="34">
        <v>0</v>
      </c>
      <c r="H217" s="33">
        <v>2.68</v>
      </c>
      <c r="I217" s="33">
        <f t="shared" si="147"/>
        <v>186.2</v>
      </c>
      <c r="J217" s="33">
        <v>2.68</v>
      </c>
      <c r="K217" s="33">
        <v>0</v>
      </c>
      <c r="L217" s="33">
        <v>0</v>
      </c>
      <c r="M217" s="33">
        <v>33</v>
      </c>
      <c r="N217" s="87">
        <v>153.19999999999999</v>
      </c>
      <c r="O217" s="86">
        <v>0</v>
      </c>
      <c r="P217" s="87">
        <v>0</v>
      </c>
      <c r="Q217" s="87">
        <v>0</v>
      </c>
      <c r="R217" s="119">
        <f t="shared" si="149"/>
        <v>0</v>
      </c>
      <c r="S217" s="87">
        <v>0</v>
      </c>
      <c r="T217" s="87">
        <v>0</v>
      </c>
      <c r="U217" s="87">
        <v>0</v>
      </c>
      <c r="V217" s="87">
        <v>0</v>
      </c>
      <c r="W217" s="87">
        <v>0</v>
      </c>
      <c r="X217" s="87">
        <v>0</v>
      </c>
      <c r="Y217" s="87">
        <v>0</v>
      </c>
      <c r="Z217" s="87">
        <v>0</v>
      </c>
      <c r="AA217" s="87">
        <v>0</v>
      </c>
      <c r="AB217" s="87">
        <v>0</v>
      </c>
      <c r="AC217" s="161">
        <v>0</v>
      </c>
      <c r="AD217" s="148">
        <f t="shared" si="107"/>
        <v>0</v>
      </c>
    </row>
    <row r="218" spans="1:30">
      <c r="A218" s="20">
        <v>68</v>
      </c>
      <c r="B218" s="37" t="s">
        <v>138</v>
      </c>
      <c r="C218" s="24" t="s">
        <v>142</v>
      </c>
      <c r="D218" s="43">
        <v>2015</v>
      </c>
      <c r="E218" s="26">
        <f>F219</f>
        <v>100</v>
      </c>
      <c r="F218" s="27">
        <f>F219</f>
        <v>100</v>
      </c>
      <c r="G218" s="28">
        <f>G219</f>
        <v>0</v>
      </c>
      <c r="H218" s="28">
        <f>H219</f>
        <v>0</v>
      </c>
      <c r="I218" s="28">
        <f t="shared" si="147"/>
        <v>100</v>
      </c>
      <c r="J218" s="27">
        <f>J219</f>
        <v>0</v>
      </c>
      <c r="K218" s="27">
        <f t="shared" ref="K218:Q218" si="158">K219</f>
        <v>100</v>
      </c>
      <c r="L218" s="27">
        <f t="shared" si="158"/>
        <v>0</v>
      </c>
      <c r="M218" s="27">
        <f t="shared" si="158"/>
        <v>0</v>
      </c>
      <c r="N218" s="85">
        <f t="shared" si="158"/>
        <v>0</v>
      </c>
      <c r="O218" s="85">
        <f t="shared" si="158"/>
        <v>0</v>
      </c>
      <c r="P218" s="85">
        <f t="shared" si="158"/>
        <v>0</v>
      </c>
      <c r="Q218" s="85">
        <f t="shared" si="158"/>
        <v>0</v>
      </c>
      <c r="R218" s="118">
        <f t="shared" si="149"/>
        <v>0</v>
      </c>
      <c r="S218" s="85">
        <f>S219</f>
        <v>0</v>
      </c>
      <c r="T218" s="85">
        <f t="shared" ref="T218:AC218" si="159">T219</f>
        <v>0</v>
      </c>
      <c r="U218" s="85">
        <f t="shared" si="159"/>
        <v>0</v>
      </c>
      <c r="V218" s="85">
        <f t="shared" si="159"/>
        <v>0</v>
      </c>
      <c r="W218" s="85">
        <f t="shared" si="159"/>
        <v>0</v>
      </c>
      <c r="X218" s="85">
        <f t="shared" si="159"/>
        <v>0</v>
      </c>
      <c r="Y218" s="85">
        <f t="shared" si="159"/>
        <v>0</v>
      </c>
      <c r="Z218" s="85">
        <f t="shared" si="159"/>
        <v>0</v>
      </c>
      <c r="AA218" s="85">
        <f t="shared" si="159"/>
        <v>0</v>
      </c>
      <c r="AB218" s="85">
        <f t="shared" si="159"/>
        <v>0</v>
      </c>
      <c r="AC218" s="150">
        <f t="shared" si="159"/>
        <v>0</v>
      </c>
      <c r="AD218" s="146">
        <f t="shared" si="107"/>
        <v>0</v>
      </c>
    </row>
    <row r="219" spans="1:30">
      <c r="A219" s="40"/>
      <c r="B219" s="10" t="s">
        <v>31</v>
      </c>
      <c r="C219" s="30"/>
      <c r="D219" s="31"/>
      <c r="E219" s="32"/>
      <c r="F219" s="33">
        <f>H219+I219+AD219</f>
        <v>100</v>
      </c>
      <c r="G219" s="34">
        <v>0</v>
      </c>
      <c r="H219" s="33">
        <v>0</v>
      </c>
      <c r="I219" s="33">
        <f t="shared" si="147"/>
        <v>100</v>
      </c>
      <c r="J219" s="33">
        <v>0</v>
      </c>
      <c r="K219" s="33">
        <v>100</v>
      </c>
      <c r="L219" s="33">
        <v>0</v>
      </c>
      <c r="M219" s="35">
        <v>0</v>
      </c>
      <c r="N219" s="87">
        <v>0</v>
      </c>
      <c r="O219" s="87">
        <v>0</v>
      </c>
      <c r="P219" s="87">
        <v>0</v>
      </c>
      <c r="Q219" s="87">
        <v>0</v>
      </c>
      <c r="R219" s="119">
        <f t="shared" si="149"/>
        <v>0</v>
      </c>
      <c r="S219" s="87">
        <v>0</v>
      </c>
      <c r="T219" s="87">
        <v>0</v>
      </c>
      <c r="U219" s="87">
        <v>0</v>
      </c>
      <c r="V219" s="87">
        <v>0</v>
      </c>
      <c r="W219" s="87">
        <v>0</v>
      </c>
      <c r="X219" s="87">
        <v>0</v>
      </c>
      <c r="Y219" s="87">
        <v>0</v>
      </c>
      <c r="Z219" s="87">
        <v>0</v>
      </c>
      <c r="AA219" s="87">
        <v>0</v>
      </c>
      <c r="AB219" s="87">
        <v>0</v>
      </c>
      <c r="AC219" s="161">
        <v>0</v>
      </c>
      <c r="AD219" s="148">
        <f t="shared" si="107"/>
        <v>0</v>
      </c>
    </row>
    <row r="220" spans="1:30">
      <c r="A220" s="54" t="s">
        <v>154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95"/>
      <c r="O220" s="95"/>
      <c r="P220" s="95"/>
      <c r="Q220" s="95"/>
      <c r="R220" s="120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166"/>
      <c r="AD220" s="151">
        <f t="shared" si="107"/>
        <v>0</v>
      </c>
    </row>
    <row r="221" spans="1:30" ht="22.5">
      <c r="A221" s="20">
        <v>69</v>
      </c>
      <c r="B221" s="23" t="s">
        <v>155</v>
      </c>
      <c r="C221" s="24" t="s">
        <v>91</v>
      </c>
      <c r="D221" s="25" t="s">
        <v>382</v>
      </c>
      <c r="E221" s="26">
        <f>F222</f>
        <v>127297.74099999999</v>
      </c>
      <c r="F221" s="27">
        <f>F222</f>
        <v>127297.74099999999</v>
      </c>
      <c r="G221" s="28">
        <v>65474.377</v>
      </c>
      <c r="H221" s="28">
        <v>69651.37</v>
      </c>
      <c r="I221" s="28">
        <f>SUM(K221:O221)</f>
        <v>36646.370999999999</v>
      </c>
      <c r="J221" s="27">
        <f>J222</f>
        <v>4176.9930000000004</v>
      </c>
      <c r="K221" s="27">
        <f t="shared" ref="K221:Q221" si="160">K222</f>
        <v>8891.6869999999999</v>
      </c>
      <c r="L221" s="27">
        <f t="shared" si="160"/>
        <v>6899.2359999999999</v>
      </c>
      <c r="M221" s="27">
        <f t="shared" si="160"/>
        <v>7687.2039999999997</v>
      </c>
      <c r="N221" s="85">
        <f t="shared" si="160"/>
        <v>9172.1790000000001</v>
      </c>
      <c r="O221" s="85">
        <f t="shared" si="160"/>
        <v>3996.0650000000001</v>
      </c>
      <c r="P221" s="85">
        <f t="shared" si="160"/>
        <v>3000</v>
      </c>
      <c r="Q221" s="85">
        <f t="shared" si="160"/>
        <v>6000</v>
      </c>
      <c r="R221" s="118">
        <f>SUM(S221:AC221)</f>
        <v>12000</v>
      </c>
      <c r="S221" s="85">
        <f>S222</f>
        <v>6000</v>
      </c>
      <c r="T221" s="85">
        <f t="shared" ref="T221:AC221" si="161">T222</f>
        <v>6000</v>
      </c>
      <c r="U221" s="85">
        <f t="shared" si="161"/>
        <v>0</v>
      </c>
      <c r="V221" s="85">
        <f t="shared" si="161"/>
        <v>0</v>
      </c>
      <c r="W221" s="85">
        <f t="shared" si="161"/>
        <v>0</v>
      </c>
      <c r="X221" s="85">
        <f t="shared" si="161"/>
        <v>0</v>
      </c>
      <c r="Y221" s="85">
        <f t="shared" si="161"/>
        <v>0</v>
      </c>
      <c r="Z221" s="85">
        <f t="shared" si="161"/>
        <v>0</v>
      </c>
      <c r="AA221" s="85">
        <f t="shared" si="161"/>
        <v>0</v>
      </c>
      <c r="AB221" s="85">
        <f t="shared" si="161"/>
        <v>0</v>
      </c>
      <c r="AC221" s="150">
        <f t="shared" si="161"/>
        <v>0</v>
      </c>
      <c r="AD221" s="146">
        <f t="shared" si="107"/>
        <v>21000</v>
      </c>
    </row>
    <row r="222" spans="1:30">
      <c r="A222" s="40"/>
      <c r="B222" s="10" t="s">
        <v>31</v>
      </c>
      <c r="C222" s="30"/>
      <c r="D222" s="31"/>
      <c r="E222" s="32"/>
      <c r="F222" s="33">
        <f>H222+I222+AD222</f>
        <v>127297.74099999999</v>
      </c>
      <c r="G222" s="34">
        <v>65474.377</v>
      </c>
      <c r="H222" s="33">
        <v>69651.37</v>
      </c>
      <c r="I222" s="33">
        <f>SUM(K222:O222)</f>
        <v>36646.370999999999</v>
      </c>
      <c r="J222" s="33">
        <v>4176.9930000000004</v>
      </c>
      <c r="K222" s="33">
        <v>8891.6869999999999</v>
      </c>
      <c r="L222" s="33">
        <v>6899.2359999999999</v>
      </c>
      <c r="M222" s="35">
        <f>8687.204-1000</f>
        <v>7687.2039999999997</v>
      </c>
      <c r="N222" s="87">
        <v>9172.1790000000001</v>
      </c>
      <c r="O222" s="87">
        <v>3996.0650000000001</v>
      </c>
      <c r="P222" s="87">
        <v>3000</v>
      </c>
      <c r="Q222" s="87">
        <v>6000</v>
      </c>
      <c r="R222" s="119">
        <f>SUM(S222:AC222)</f>
        <v>12000</v>
      </c>
      <c r="S222" s="87">
        <v>6000</v>
      </c>
      <c r="T222" s="87">
        <v>6000</v>
      </c>
      <c r="U222" s="87">
        <v>0</v>
      </c>
      <c r="V222" s="87">
        <v>0</v>
      </c>
      <c r="W222" s="87">
        <v>0</v>
      </c>
      <c r="X222" s="87">
        <v>0</v>
      </c>
      <c r="Y222" s="87">
        <v>0</v>
      </c>
      <c r="Z222" s="87">
        <v>0</v>
      </c>
      <c r="AA222" s="87">
        <v>0</v>
      </c>
      <c r="AB222" s="87">
        <v>0</v>
      </c>
      <c r="AC222" s="161">
        <v>0</v>
      </c>
      <c r="AD222" s="148">
        <f t="shared" si="107"/>
        <v>21000</v>
      </c>
    </row>
    <row r="223" spans="1:30" ht="29.25">
      <c r="A223" s="20">
        <v>70</v>
      </c>
      <c r="B223" s="23" t="s">
        <v>156</v>
      </c>
      <c r="C223" s="24" t="s">
        <v>345</v>
      </c>
      <c r="D223" s="25" t="s">
        <v>99</v>
      </c>
      <c r="E223" s="26">
        <f>F224</f>
        <v>191.69900000000001</v>
      </c>
      <c r="F223" s="27">
        <f>F224+F225</f>
        <v>1026.0420000000001</v>
      </c>
      <c r="G223" s="27">
        <f>G224+G225</f>
        <v>0</v>
      </c>
      <c r="H223" s="27">
        <f>H224+H225</f>
        <v>0</v>
      </c>
      <c r="I223" s="28">
        <f t="shared" ref="I223:I264" si="162">SUM(K223:O223)</f>
        <v>1026.0419999999999</v>
      </c>
      <c r="J223" s="27">
        <f t="shared" ref="J223:Q223" si="163">J224+J225</f>
        <v>0</v>
      </c>
      <c r="K223" s="27">
        <f t="shared" si="163"/>
        <v>0</v>
      </c>
      <c r="L223" s="27">
        <f t="shared" si="163"/>
        <v>957.18600000000004</v>
      </c>
      <c r="M223" s="27">
        <f t="shared" si="163"/>
        <v>68.855999999999995</v>
      </c>
      <c r="N223" s="85">
        <f t="shared" si="163"/>
        <v>0</v>
      </c>
      <c r="O223" s="85">
        <f t="shared" si="163"/>
        <v>0</v>
      </c>
      <c r="P223" s="85">
        <f t="shared" si="163"/>
        <v>0</v>
      </c>
      <c r="Q223" s="85">
        <f t="shared" si="163"/>
        <v>0</v>
      </c>
      <c r="R223" s="118">
        <f t="shared" ref="R223:R246" si="164">SUM(S223:AC223)</f>
        <v>0</v>
      </c>
      <c r="S223" s="85">
        <f>S224+S225</f>
        <v>0</v>
      </c>
      <c r="T223" s="85">
        <f t="shared" ref="T223:AC223" si="165">T224+T225</f>
        <v>0</v>
      </c>
      <c r="U223" s="85">
        <f t="shared" si="165"/>
        <v>0</v>
      </c>
      <c r="V223" s="85">
        <f t="shared" si="165"/>
        <v>0</v>
      </c>
      <c r="W223" s="85">
        <f t="shared" si="165"/>
        <v>0</v>
      </c>
      <c r="X223" s="85">
        <f t="shared" si="165"/>
        <v>0</v>
      </c>
      <c r="Y223" s="85">
        <f t="shared" si="165"/>
        <v>0</v>
      </c>
      <c r="Z223" s="85">
        <f t="shared" si="165"/>
        <v>0</v>
      </c>
      <c r="AA223" s="85">
        <f t="shared" si="165"/>
        <v>0</v>
      </c>
      <c r="AB223" s="85">
        <f t="shared" si="165"/>
        <v>0</v>
      </c>
      <c r="AC223" s="150">
        <f t="shared" si="165"/>
        <v>0</v>
      </c>
      <c r="AD223" s="146">
        <f t="shared" si="107"/>
        <v>0</v>
      </c>
    </row>
    <row r="224" spans="1:30">
      <c r="A224" s="29"/>
      <c r="B224" s="10" t="s">
        <v>31</v>
      </c>
      <c r="C224" s="33"/>
      <c r="D224" s="33"/>
      <c r="E224" s="33"/>
      <c r="F224" s="33">
        <f>H224+I224+AD224</f>
        <v>191.69900000000001</v>
      </c>
      <c r="G224" s="33">
        <v>0</v>
      </c>
      <c r="H224" s="33">
        <v>0</v>
      </c>
      <c r="I224" s="33">
        <f t="shared" si="162"/>
        <v>191.69900000000001</v>
      </c>
      <c r="J224" s="11">
        <v>0</v>
      </c>
      <c r="K224" s="11">
        <v>0</v>
      </c>
      <c r="L224" s="12">
        <v>178.84700000000001</v>
      </c>
      <c r="M224" s="12">
        <f>14.742-1.89</f>
        <v>12.852</v>
      </c>
      <c r="N224" s="90">
        <v>0</v>
      </c>
      <c r="O224" s="90">
        <v>0</v>
      </c>
      <c r="P224" s="91">
        <v>0</v>
      </c>
      <c r="Q224" s="91">
        <v>0</v>
      </c>
      <c r="R224" s="119">
        <f t="shared" si="164"/>
        <v>0</v>
      </c>
      <c r="S224" s="91">
        <v>0</v>
      </c>
      <c r="T224" s="91">
        <v>0</v>
      </c>
      <c r="U224" s="91">
        <v>0</v>
      </c>
      <c r="V224" s="91">
        <v>0</v>
      </c>
      <c r="W224" s="91">
        <v>0</v>
      </c>
      <c r="X224" s="91">
        <v>0</v>
      </c>
      <c r="Y224" s="91">
        <v>0</v>
      </c>
      <c r="Z224" s="91">
        <v>0</v>
      </c>
      <c r="AA224" s="91">
        <v>0</v>
      </c>
      <c r="AB224" s="91">
        <v>0</v>
      </c>
      <c r="AC224" s="163">
        <v>0</v>
      </c>
      <c r="AD224" s="148">
        <f t="shared" si="107"/>
        <v>0</v>
      </c>
    </row>
    <row r="225" spans="1:30">
      <c r="A225" s="29"/>
      <c r="B225" s="38" t="s">
        <v>41</v>
      </c>
      <c r="C225" s="33"/>
      <c r="D225" s="33"/>
      <c r="E225" s="33"/>
      <c r="F225" s="33">
        <f>H225+I225+AD225</f>
        <v>834.34300000000007</v>
      </c>
      <c r="G225" s="33">
        <v>0</v>
      </c>
      <c r="H225" s="33">
        <v>0</v>
      </c>
      <c r="I225" s="33">
        <f t="shared" si="162"/>
        <v>834.34300000000007</v>
      </c>
      <c r="J225" s="11">
        <v>0</v>
      </c>
      <c r="K225" s="11">
        <v>0</v>
      </c>
      <c r="L225" s="12">
        <v>778.33900000000006</v>
      </c>
      <c r="M225" s="12">
        <f>63.954-7.95</f>
        <v>56.003999999999998</v>
      </c>
      <c r="N225" s="90">
        <v>0</v>
      </c>
      <c r="O225" s="90">
        <v>0</v>
      </c>
      <c r="P225" s="91">
        <v>0</v>
      </c>
      <c r="Q225" s="91">
        <v>0</v>
      </c>
      <c r="R225" s="119">
        <f t="shared" si="164"/>
        <v>0</v>
      </c>
      <c r="S225" s="91">
        <v>0</v>
      </c>
      <c r="T225" s="91">
        <v>0</v>
      </c>
      <c r="U225" s="91">
        <v>0</v>
      </c>
      <c r="V225" s="91">
        <v>0</v>
      </c>
      <c r="W225" s="91">
        <v>0</v>
      </c>
      <c r="X225" s="91">
        <v>0</v>
      </c>
      <c r="Y225" s="91">
        <v>0</v>
      </c>
      <c r="Z225" s="91">
        <v>0</v>
      </c>
      <c r="AA225" s="91">
        <v>0</v>
      </c>
      <c r="AB225" s="91">
        <v>0</v>
      </c>
      <c r="AC225" s="163">
        <v>0</v>
      </c>
      <c r="AD225" s="148">
        <f t="shared" si="107"/>
        <v>0</v>
      </c>
    </row>
    <row r="226" spans="1:30" ht="22.5">
      <c r="A226" s="20">
        <v>71</v>
      </c>
      <c r="B226" s="23" t="s">
        <v>157</v>
      </c>
      <c r="C226" s="24" t="s">
        <v>91</v>
      </c>
      <c r="D226" s="25" t="s">
        <v>349</v>
      </c>
      <c r="E226" s="26">
        <f>F227</f>
        <v>14246.789000000001</v>
      </c>
      <c r="F226" s="27">
        <f>F227+F228+F229</f>
        <v>14786.789000000001</v>
      </c>
      <c r="G226" s="28">
        <v>4414.7889999999998</v>
      </c>
      <c r="H226" s="28">
        <v>5886.7889999999998</v>
      </c>
      <c r="I226" s="28">
        <f t="shared" si="162"/>
        <v>7452</v>
      </c>
      <c r="J226" s="27">
        <f>J227+J228+J229</f>
        <v>1472</v>
      </c>
      <c r="K226" s="27">
        <f t="shared" ref="K226:Q226" si="166">K227+K228+K229</f>
        <v>1950</v>
      </c>
      <c r="L226" s="27">
        <f t="shared" si="166"/>
        <v>1078</v>
      </c>
      <c r="M226" s="27">
        <f t="shared" si="166"/>
        <v>1272</v>
      </c>
      <c r="N226" s="85">
        <f t="shared" si="166"/>
        <v>1772.5119999999999</v>
      </c>
      <c r="O226" s="85">
        <f t="shared" si="166"/>
        <v>1379.4880000000001</v>
      </c>
      <c r="P226" s="85">
        <f t="shared" si="166"/>
        <v>1448</v>
      </c>
      <c r="Q226" s="85">
        <f t="shared" si="166"/>
        <v>0</v>
      </c>
      <c r="R226" s="118">
        <f t="shared" si="164"/>
        <v>0</v>
      </c>
      <c r="S226" s="85">
        <f>S227+S228+S229</f>
        <v>0</v>
      </c>
      <c r="T226" s="85">
        <f t="shared" ref="T226:AC226" si="167">T227+T228+T229</f>
        <v>0</v>
      </c>
      <c r="U226" s="85">
        <f t="shared" si="167"/>
        <v>0</v>
      </c>
      <c r="V226" s="85">
        <f t="shared" si="167"/>
        <v>0</v>
      </c>
      <c r="W226" s="85">
        <f t="shared" si="167"/>
        <v>0</v>
      </c>
      <c r="X226" s="85">
        <f t="shared" si="167"/>
        <v>0</v>
      </c>
      <c r="Y226" s="85">
        <f t="shared" si="167"/>
        <v>0</v>
      </c>
      <c r="Z226" s="85">
        <f t="shared" si="167"/>
        <v>0</v>
      </c>
      <c r="AA226" s="85">
        <f t="shared" si="167"/>
        <v>0</v>
      </c>
      <c r="AB226" s="85">
        <f t="shared" si="167"/>
        <v>0</v>
      </c>
      <c r="AC226" s="150">
        <f t="shared" si="167"/>
        <v>0</v>
      </c>
      <c r="AD226" s="146">
        <f t="shared" si="107"/>
        <v>1448</v>
      </c>
    </row>
    <row r="227" spans="1:30">
      <c r="A227" s="40"/>
      <c r="B227" s="10" t="s">
        <v>31</v>
      </c>
      <c r="C227" s="30"/>
      <c r="D227" s="31"/>
      <c r="E227" s="32"/>
      <c r="F227" s="33">
        <f>H227+I227+AD227</f>
        <v>14246.789000000001</v>
      </c>
      <c r="G227" s="34">
        <v>4414.7889999999998</v>
      </c>
      <c r="H227" s="33">
        <v>5886.7889999999998</v>
      </c>
      <c r="I227" s="33">
        <f t="shared" si="162"/>
        <v>6912</v>
      </c>
      <c r="J227" s="33">
        <v>1472</v>
      </c>
      <c r="K227" s="33">
        <v>1770</v>
      </c>
      <c r="L227" s="33">
        <v>898</v>
      </c>
      <c r="M227" s="33">
        <f>1792-700</f>
        <v>1092</v>
      </c>
      <c r="N227" s="86">
        <v>1772.5119999999999</v>
      </c>
      <c r="O227" s="86">
        <v>1379.4880000000001</v>
      </c>
      <c r="P227" s="87">
        <v>1448</v>
      </c>
      <c r="Q227" s="87">
        <v>0</v>
      </c>
      <c r="R227" s="119">
        <f t="shared" si="164"/>
        <v>0</v>
      </c>
      <c r="S227" s="87">
        <v>0</v>
      </c>
      <c r="T227" s="87">
        <v>0</v>
      </c>
      <c r="U227" s="87">
        <v>0</v>
      </c>
      <c r="V227" s="87">
        <v>0</v>
      </c>
      <c r="W227" s="87">
        <v>0</v>
      </c>
      <c r="X227" s="87">
        <v>0</v>
      </c>
      <c r="Y227" s="87">
        <v>0</v>
      </c>
      <c r="Z227" s="87">
        <v>0</v>
      </c>
      <c r="AA227" s="87">
        <v>0</v>
      </c>
      <c r="AB227" s="87">
        <v>0</v>
      </c>
      <c r="AC227" s="161">
        <v>0</v>
      </c>
      <c r="AD227" s="148">
        <f t="shared" si="107"/>
        <v>1448</v>
      </c>
    </row>
    <row r="228" spans="1:30">
      <c r="A228" s="40"/>
      <c r="B228" s="38" t="s">
        <v>41</v>
      </c>
      <c r="C228" s="30"/>
      <c r="D228" s="31"/>
      <c r="E228" s="32"/>
      <c r="F228" s="33">
        <f>H228+I228+AD228</f>
        <v>0</v>
      </c>
      <c r="G228" s="34">
        <v>0</v>
      </c>
      <c r="H228" s="33">
        <v>0</v>
      </c>
      <c r="I228" s="33">
        <f t="shared" si="162"/>
        <v>0</v>
      </c>
      <c r="J228" s="33">
        <v>0</v>
      </c>
      <c r="K228" s="33">
        <v>0</v>
      </c>
      <c r="L228" s="33">
        <v>0</v>
      </c>
      <c r="M228" s="33">
        <v>0</v>
      </c>
      <c r="N228" s="87">
        <v>0</v>
      </c>
      <c r="O228" s="87">
        <v>0</v>
      </c>
      <c r="P228" s="87">
        <v>0</v>
      </c>
      <c r="Q228" s="87">
        <v>0</v>
      </c>
      <c r="R228" s="119">
        <f t="shared" si="164"/>
        <v>0</v>
      </c>
      <c r="S228" s="87">
        <v>0</v>
      </c>
      <c r="T228" s="87">
        <v>0</v>
      </c>
      <c r="U228" s="87">
        <v>0</v>
      </c>
      <c r="V228" s="87">
        <v>0</v>
      </c>
      <c r="W228" s="87">
        <v>0</v>
      </c>
      <c r="X228" s="87">
        <v>0</v>
      </c>
      <c r="Y228" s="87">
        <v>0</v>
      </c>
      <c r="Z228" s="87">
        <v>0</v>
      </c>
      <c r="AA228" s="87">
        <v>0</v>
      </c>
      <c r="AB228" s="87">
        <v>0</v>
      </c>
      <c r="AC228" s="161">
        <v>0</v>
      </c>
      <c r="AD228" s="148">
        <f t="shared" si="107"/>
        <v>0</v>
      </c>
    </row>
    <row r="229" spans="1:30">
      <c r="A229" s="40"/>
      <c r="B229" s="10" t="s">
        <v>158</v>
      </c>
      <c r="C229" s="30"/>
      <c r="D229" s="31"/>
      <c r="E229" s="32"/>
      <c r="F229" s="33">
        <f>H229+I229+AD229</f>
        <v>540</v>
      </c>
      <c r="G229" s="34">
        <v>0</v>
      </c>
      <c r="H229" s="33">
        <v>0</v>
      </c>
      <c r="I229" s="33">
        <f t="shared" si="162"/>
        <v>540</v>
      </c>
      <c r="J229" s="33">
        <v>0</v>
      </c>
      <c r="K229" s="33">
        <v>180</v>
      </c>
      <c r="L229" s="33">
        <v>180</v>
      </c>
      <c r="M229" s="33">
        <v>180</v>
      </c>
      <c r="N229" s="87">
        <v>0</v>
      </c>
      <c r="O229" s="87">
        <v>0</v>
      </c>
      <c r="P229" s="87">
        <v>0</v>
      </c>
      <c r="Q229" s="87">
        <v>0</v>
      </c>
      <c r="R229" s="119">
        <f t="shared" si="164"/>
        <v>0</v>
      </c>
      <c r="S229" s="87">
        <v>0</v>
      </c>
      <c r="T229" s="87">
        <v>0</v>
      </c>
      <c r="U229" s="87">
        <v>0</v>
      </c>
      <c r="V229" s="87">
        <v>0</v>
      </c>
      <c r="W229" s="87">
        <v>0</v>
      </c>
      <c r="X229" s="87">
        <v>0</v>
      </c>
      <c r="Y229" s="87">
        <v>0</v>
      </c>
      <c r="Z229" s="87">
        <v>0</v>
      </c>
      <c r="AA229" s="87">
        <v>0</v>
      </c>
      <c r="AB229" s="87">
        <v>0</v>
      </c>
      <c r="AC229" s="161">
        <v>0</v>
      </c>
      <c r="AD229" s="148">
        <f t="shared" si="107"/>
        <v>0</v>
      </c>
    </row>
    <row r="230" spans="1:30" ht="33.75">
      <c r="A230" s="20">
        <v>72</v>
      </c>
      <c r="B230" s="37" t="s">
        <v>159</v>
      </c>
      <c r="C230" s="24" t="s">
        <v>160</v>
      </c>
      <c r="D230" s="25" t="s">
        <v>44</v>
      </c>
      <c r="E230" s="26">
        <f>F231</f>
        <v>26694.583999999999</v>
      </c>
      <c r="F230" s="27">
        <f>F231</f>
        <v>26694.583999999999</v>
      </c>
      <c r="G230" s="28">
        <v>20178.524000000001</v>
      </c>
      <c r="H230" s="28">
        <v>23436.554</v>
      </c>
      <c r="I230" s="28">
        <f t="shared" si="162"/>
        <v>3258.03</v>
      </c>
      <c r="J230" s="27">
        <f>J231</f>
        <v>3258.03</v>
      </c>
      <c r="K230" s="27">
        <f t="shared" ref="K230:Q230" si="168">K231</f>
        <v>3258.03</v>
      </c>
      <c r="L230" s="27">
        <f t="shared" si="168"/>
        <v>0</v>
      </c>
      <c r="M230" s="27">
        <f t="shared" si="168"/>
        <v>0</v>
      </c>
      <c r="N230" s="85">
        <f t="shared" si="168"/>
        <v>0</v>
      </c>
      <c r="O230" s="85">
        <f t="shared" si="168"/>
        <v>0</v>
      </c>
      <c r="P230" s="85">
        <f t="shared" si="168"/>
        <v>0</v>
      </c>
      <c r="Q230" s="85">
        <f t="shared" si="168"/>
        <v>0</v>
      </c>
      <c r="R230" s="118">
        <f t="shared" si="164"/>
        <v>0</v>
      </c>
      <c r="S230" s="85">
        <f>S231</f>
        <v>0</v>
      </c>
      <c r="T230" s="85">
        <f t="shared" ref="T230:AC230" si="169">T231</f>
        <v>0</v>
      </c>
      <c r="U230" s="85">
        <f t="shared" si="169"/>
        <v>0</v>
      </c>
      <c r="V230" s="85">
        <f t="shared" si="169"/>
        <v>0</v>
      </c>
      <c r="W230" s="85">
        <f t="shared" si="169"/>
        <v>0</v>
      </c>
      <c r="X230" s="85">
        <f t="shared" si="169"/>
        <v>0</v>
      </c>
      <c r="Y230" s="85">
        <f t="shared" si="169"/>
        <v>0</v>
      </c>
      <c r="Z230" s="85">
        <f t="shared" si="169"/>
        <v>0</v>
      </c>
      <c r="AA230" s="85">
        <f t="shared" si="169"/>
        <v>0</v>
      </c>
      <c r="AB230" s="85">
        <f t="shared" si="169"/>
        <v>0</v>
      </c>
      <c r="AC230" s="150">
        <f t="shared" si="169"/>
        <v>0</v>
      </c>
      <c r="AD230" s="146">
        <f t="shared" si="107"/>
        <v>0</v>
      </c>
    </row>
    <row r="231" spans="1:30">
      <c r="A231" s="40"/>
      <c r="B231" s="10" t="s">
        <v>31</v>
      </c>
      <c r="C231" s="30"/>
      <c r="D231" s="31"/>
      <c r="E231" s="32"/>
      <c r="F231" s="33">
        <f>H231+I231+AD231</f>
        <v>26694.583999999999</v>
      </c>
      <c r="G231" s="34">
        <v>20178.524000000001</v>
      </c>
      <c r="H231" s="33">
        <v>23436.554</v>
      </c>
      <c r="I231" s="33">
        <f t="shared" si="162"/>
        <v>3258.03</v>
      </c>
      <c r="J231" s="33">
        <v>3258.03</v>
      </c>
      <c r="K231" s="33">
        <v>3258.03</v>
      </c>
      <c r="L231" s="33">
        <v>0</v>
      </c>
      <c r="M231" s="33">
        <v>0</v>
      </c>
      <c r="N231" s="87">
        <v>0</v>
      </c>
      <c r="O231" s="87">
        <v>0</v>
      </c>
      <c r="P231" s="87">
        <v>0</v>
      </c>
      <c r="Q231" s="87">
        <v>0</v>
      </c>
      <c r="R231" s="119">
        <f t="shared" si="164"/>
        <v>0</v>
      </c>
      <c r="S231" s="87">
        <v>0</v>
      </c>
      <c r="T231" s="87">
        <v>0</v>
      </c>
      <c r="U231" s="87">
        <v>0</v>
      </c>
      <c r="V231" s="87">
        <v>0</v>
      </c>
      <c r="W231" s="87">
        <v>0</v>
      </c>
      <c r="X231" s="87">
        <v>0</v>
      </c>
      <c r="Y231" s="87">
        <v>0</v>
      </c>
      <c r="Z231" s="87">
        <v>0</v>
      </c>
      <c r="AA231" s="87">
        <v>0</v>
      </c>
      <c r="AB231" s="87">
        <v>0</v>
      </c>
      <c r="AC231" s="161">
        <v>0</v>
      </c>
      <c r="AD231" s="148">
        <f t="shared" si="107"/>
        <v>0</v>
      </c>
    </row>
    <row r="232" spans="1:30" ht="22.5">
      <c r="A232" s="20">
        <v>73</v>
      </c>
      <c r="B232" s="23" t="s">
        <v>161</v>
      </c>
      <c r="C232" s="24" t="s">
        <v>344</v>
      </c>
      <c r="D232" s="47" t="s">
        <v>101</v>
      </c>
      <c r="E232" s="26">
        <f>F233</f>
        <v>147.048</v>
      </c>
      <c r="F232" s="27">
        <f>F233+F234</f>
        <v>980.31999999999994</v>
      </c>
      <c r="G232" s="27">
        <f>G233+G234</f>
        <v>0</v>
      </c>
      <c r="H232" s="27">
        <f>H233+H234</f>
        <v>0</v>
      </c>
      <c r="I232" s="28">
        <f t="shared" si="162"/>
        <v>980.31999999999994</v>
      </c>
      <c r="J232" s="27">
        <f t="shared" ref="J232:Q232" si="170">J233+J234</f>
        <v>0</v>
      </c>
      <c r="K232" s="27">
        <f t="shared" si="170"/>
        <v>0</v>
      </c>
      <c r="L232" s="27">
        <f t="shared" si="170"/>
        <v>0</v>
      </c>
      <c r="M232" s="27">
        <f t="shared" si="170"/>
        <v>980.31999999999994</v>
      </c>
      <c r="N232" s="85">
        <f t="shared" si="170"/>
        <v>0</v>
      </c>
      <c r="O232" s="85">
        <f t="shared" si="170"/>
        <v>0</v>
      </c>
      <c r="P232" s="85">
        <f t="shared" si="170"/>
        <v>0</v>
      </c>
      <c r="Q232" s="85">
        <f t="shared" si="170"/>
        <v>0</v>
      </c>
      <c r="R232" s="118">
        <f t="shared" si="164"/>
        <v>0</v>
      </c>
      <c r="S232" s="85">
        <f>S233+S234</f>
        <v>0</v>
      </c>
      <c r="T232" s="85">
        <f t="shared" ref="T232:AC232" si="171">T233+T234</f>
        <v>0</v>
      </c>
      <c r="U232" s="85">
        <f t="shared" si="171"/>
        <v>0</v>
      </c>
      <c r="V232" s="85">
        <f t="shared" si="171"/>
        <v>0</v>
      </c>
      <c r="W232" s="85">
        <f t="shared" si="171"/>
        <v>0</v>
      </c>
      <c r="X232" s="85">
        <f t="shared" si="171"/>
        <v>0</v>
      </c>
      <c r="Y232" s="85">
        <f t="shared" si="171"/>
        <v>0</v>
      </c>
      <c r="Z232" s="85">
        <f t="shared" si="171"/>
        <v>0</v>
      </c>
      <c r="AA232" s="85">
        <f t="shared" si="171"/>
        <v>0</v>
      </c>
      <c r="AB232" s="85">
        <f t="shared" si="171"/>
        <v>0</v>
      </c>
      <c r="AC232" s="150">
        <f t="shared" si="171"/>
        <v>0</v>
      </c>
      <c r="AD232" s="146">
        <f t="shared" si="107"/>
        <v>0</v>
      </c>
    </row>
    <row r="233" spans="1:30">
      <c r="A233" s="29"/>
      <c r="B233" s="10" t="s">
        <v>31</v>
      </c>
      <c r="C233" s="33"/>
      <c r="D233" s="33"/>
      <c r="E233" s="33"/>
      <c r="F233" s="33">
        <f>H233+I233+AD233</f>
        <v>147.048</v>
      </c>
      <c r="G233" s="33">
        <v>0</v>
      </c>
      <c r="H233" s="33">
        <v>0</v>
      </c>
      <c r="I233" s="33">
        <f t="shared" si="162"/>
        <v>147.048</v>
      </c>
      <c r="J233" s="11">
        <v>0</v>
      </c>
      <c r="K233" s="11">
        <v>0</v>
      </c>
      <c r="L233" s="42">
        <v>0</v>
      </c>
      <c r="M233" s="42">
        <f>148.524-1.476</f>
        <v>147.048</v>
      </c>
      <c r="N233" s="90">
        <v>0</v>
      </c>
      <c r="O233" s="90">
        <v>0</v>
      </c>
      <c r="P233" s="91">
        <v>0</v>
      </c>
      <c r="Q233" s="91">
        <v>0</v>
      </c>
      <c r="R233" s="119">
        <f t="shared" si="164"/>
        <v>0</v>
      </c>
      <c r="S233" s="91">
        <v>0</v>
      </c>
      <c r="T233" s="91">
        <v>0</v>
      </c>
      <c r="U233" s="91">
        <v>0</v>
      </c>
      <c r="V233" s="91">
        <v>0</v>
      </c>
      <c r="W233" s="91">
        <v>0</v>
      </c>
      <c r="X233" s="91">
        <v>0</v>
      </c>
      <c r="Y233" s="91">
        <v>0</v>
      </c>
      <c r="Z233" s="91">
        <v>0</v>
      </c>
      <c r="AA233" s="91">
        <v>0</v>
      </c>
      <c r="AB233" s="91">
        <v>0</v>
      </c>
      <c r="AC233" s="163">
        <v>0</v>
      </c>
      <c r="AD233" s="148">
        <f t="shared" si="107"/>
        <v>0</v>
      </c>
    </row>
    <row r="234" spans="1:30">
      <c r="A234" s="29"/>
      <c r="B234" s="38" t="s">
        <v>41</v>
      </c>
      <c r="C234" s="33"/>
      <c r="D234" s="33"/>
      <c r="E234" s="33"/>
      <c r="F234" s="33">
        <f>H234+I234+AD234</f>
        <v>833.27199999999993</v>
      </c>
      <c r="G234" s="33">
        <v>0</v>
      </c>
      <c r="H234" s="33">
        <v>0</v>
      </c>
      <c r="I234" s="33">
        <f t="shared" si="162"/>
        <v>833.27199999999993</v>
      </c>
      <c r="J234" s="11">
        <v>0</v>
      </c>
      <c r="K234" s="11">
        <v>0</v>
      </c>
      <c r="L234" s="42">
        <v>0</v>
      </c>
      <c r="M234" s="12">
        <f>841.636-8.364</f>
        <v>833.27199999999993</v>
      </c>
      <c r="N234" s="90">
        <v>0</v>
      </c>
      <c r="O234" s="90">
        <v>0</v>
      </c>
      <c r="P234" s="91">
        <v>0</v>
      </c>
      <c r="Q234" s="91">
        <v>0</v>
      </c>
      <c r="R234" s="119">
        <f t="shared" si="164"/>
        <v>0</v>
      </c>
      <c r="S234" s="91">
        <v>0</v>
      </c>
      <c r="T234" s="91">
        <v>0</v>
      </c>
      <c r="U234" s="91">
        <v>0</v>
      </c>
      <c r="V234" s="91">
        <v>0</v>
      </c>
      <c r="W234" s="91">
        <v>0</v>
      </c>
      <c r="X234" s="91">
        <v>0</v>
      </c>
      <c r="Y234" s="91">
        <v>0</v>
      </c>
      <c r="Z234" s="91">
        <v>0</v>
      </c>
      <c r="AA234" s="91">
        <v>0</v>
      </c>
      <c r="AB234" s="91">
        <v>0</v>
      </c>
      <c r="AC234" s="163">
        <v>0</v>
      </c>
      <c r="AD234" s="148">
        <f t="shared" ref="AD234:AD305" si="172">P234+Q234+R234</f>
        <v>0</v>
      </c>
    </row>
    <row r="235" spans="1:30" ht="22.5">
      <c r="A235" s="20">
        <v>74</v>
      </c>
      <c r="B235" s="23" t="s">
        <v>162</v>
      </c>
      <c r="C235" s="24" t="s">
        <v>344</v>
      </c>
      <c r="D235" s="47" t="s">
        <v>101</v>
      </c>
      <c r="E235" s="26">
        <f>F236</f>
        <v>8.2710000000000008</v>
      </c>
      <c r="F235" s="27">
        <f>F236+F237</f>
        <v>20.5</v>
      </c>
      <c r="G235" s="27">
        <f>G236+G237</f>
        <v>0</v>
      </c>
      <c r="H235" s="27">
        <f>H236+H237</f>
        <v>0</v>
      </c>
      <c r="I235" s="28">
        <f t="shared" si="162"/>
        <v>20.5</v>
      </c>
      <c r="J235" s="27">
        <f t="shared" ref="J235:Q235" si="173">J236+J237</f>
        <v>0</v>
      </c>
      <c r="K235" s="27">
        <f t="shared" si="173"/>
        <v>0</v>
      </c>
      <c r="L235" s="27">
        <f t="shared" si="173"/>
        <v>0</v>
      </c>
      <c r="M235" s="27">
        <f t="shared" si="173"/>
        <v>20.5</v>
      </c>
      <c r="N235" s="85">
        <f t="shared" si="173"/>
        <v>0</v>
      </c>
      <c r="O235" s="85">
        <f t="shared" si="173"/>
        <v>0</v>
      </c>
      <c r="P235" s="85">
        <f t="shared" si="173"/>
        <v>0</v>
      </c>
      <c r="Q235" s="85">
        <f t="shared" si="173"/>
        <v>0</v>
      </c>
      <c r="R235" s="118">
        <f t="shared" si="164"/>
        <v>0</v>
      </c>
      <c r="S235" s="85">
        <f>S236+S237</f>
        <v>0</v>
      </c>
      <c r="T235" s="85">
        <f t="shared" ref="T235:AC235" si="174">T236+T237</f>
        <v>0</v>
      </c>
      <c r="U235" s="85">
        <f t="shared" si="174"/>
        <v>0</v>
      </c>
      <c r="V235" s="85">
        <f t="shared" si="174"/>
        <v>0</v>
      </c>
      <c r="W235" s="85">
        <f t="shared" si="174"/>
        <v>0</v>
      </c>
      <c r="X235" s="85">
        <f t="shared" si="174"/>
        <v>0</v>
      </c>
      <c r="Y235" s="85">
        <f t="shared" si="174"/>
        <v>0</v>
      </c>
      <c r="Z235" s="85">
        <f t="shared" si="174"/>
        <v>0</v>
      </c>
      <c r="AA235" s="85">
        <f t="shared" si="174"/>
        <v>0</v>
      </c>
      <c r="AB235" s="85">
        <f t="shared" si="174"/>
        <v>0</v>
      </c>
      <c r="AC235" s="150">
        <f t="shared" si="174"/>
        <v>0</v>
      </c>
      <c r="AD235" s="146">
        <f t="shared" si="172"/>
        <v>0</v>
      </c>
    </row>
    <row r="236" spans="1:30">
      <c r="A236" s="29"/>
      <c r="B236" s="10" t="s">
        <v>31</v>
      </c>
      <c r="C236" s="33"/>
      <c r="D236" s="33"/>
      <c r="E236" s="33"/>
      <c r="F236" s="33">
        <f>H236+I236+AD236</f>
        <v>8.2710000000000008</v>
      </c>
      <c r="G236" s="33">
        <v>0</v>
      </c>
      <c r="H236" s="33">
        <v>0</v>
      </c>
      <c r="I236" s="33">
        <f t="shared" si="162"/>
        <v>8.2710000000000008</v>
      </c>
      <c r="J236" s="11">
        <v>0</v>
      </c>
      <c r="K236" s="11">
        <v>0</v>
      </c>
      <c r="L236" s="42">
        <v>0</v>
      </c>
      <c r="M236" s="42">
        <v>8.2710000000000008</v>
      </c>
      <c r="N236" s="91">
        <v>0</v>
      </c>
      <c r="O236" s="90">
        <v>0</v>
      </c>
      <c r="P236" s="91">
        <v>0</v>
      </c>
      <c r="Q236" s="91">
        <v>0</v>
      </c>
      <c r="R236" s="119">
        <f t="shared" si="164"/>
        <v>0</v>
      </c>
      <c r="S236" s="91">
        <v>0</v>
      </c>
      <c r="T236" s="91">
        <v>0</v>
      </c>
      <c r="U236" s="91">
        <v>0</v>
      </c>
      <c r="V236" s="91">
        <v>0</v>
      </c>
      <c r="W236" s="91">
        <v>0</v>
      </c>
      <c r="X236" s="91">
        <v>0</v>
      </c>
      <c r="Y236" s="91">
        <v>0</v>
      </c>
      <c r="Z236" s="91">
        <v>0</v>
      </c>
      <c r="AA236" s="91">
        <v>0</v>
      </c>
      <c r="AB236" s="91">
        <v>0</v>
      </c>
      <c r="AC236" s="163">
        <v>0</v>
      </c>
      <c r="AD236" s="148">
        <f t="shared" si="172"/>
        <v>0</v>
      </c>
    </row>
    <row r="237" spans="1:30">
      <c r="A237" s="29"/>
      <c r="B237" s="38" t="s">
        <v>41</v>
      </c>
      <c r="C237" s="33"/>
      <c r="D237" s="33"/>
      <c r="E237" s="33"/>
      <c r="F237" s="33">
        <f>H237+I237+AD237</f>
        <v>12.228999999999999</v>
      </c>
      <c r="G237" s="33">
        <v>0</v>
      </c>
      <c r="H237" s="33">
        <v>0</v>
      </c>
      <c r="I237" s="33">
        <f t="shared" si="162"/>
        <v>12.228999999999999</v>
      </c>
      <c r="J237" s="11">
        <v>0</v>
      </c>
      <c r="K237" s="11">
        <v>0</v>
      </c>
      <c r="L237" s="42">
        <v>0</v>
      </c>
      <c r="M237" s="42">
        <v>12.228999999999999</v>
      </c>
      <c r="N237" s="91">
        <v>0</v>
      </c>
      <c r="O237" s="90">
        <v>0</v>
      </c>
      <c r="P237" s="91">
        <v>0</v>
      </c>
      <c r="Q237" s="91">
        <v>0</v>
      </c>
      <c r="R237" s="119">
        <f t="shared" si="164"/>
        <v>0</v>
      </c>
      <c r="S237" s="91">
        <v>0</v>
      </c>
      <c r="T237" s="91">
        <v>0</v>
      </c>
      <c r="U237" s="91">
        <v>0</v>
      </c>
      <c r="V237" s="91">
        <v>0</v>
      </c>
      <c r="W237" s="91">
        <v>0</v>
      </c>
      <c r="X237" s="91">
        <v>0</v>
      </c>
      <c r="Y237" s="91">
        <v>0</v>
      </c>
      <c r="Z237" s="91">
        <v>0</v>
      </c>
      <c r="AA237" s="91">
        <v>0</v>
      </c>
      <c r="AB237" s="91">
        <v>0</v>
      </c>
      <c r="AC237" s="163">
        <v>0</v>
      </c>
      <c r="AD237" s="148">
        <f t="shared" si="172"/>
        <v>0</v>
      </c>
    </row>
    <row r="238" spans="1:30" ht="20.25" customHeight="1">
      <c r="A238" s="20">
        <v>75</v>
      </c>
      <c r="B238" s="23" t="s">
        <v>163</v>
      </c>
      <c r="C238" s="24" t="s">
        <v>91</v>
      </c>
      <c r="D238" s="47">
        <v>2017</v>
      </c>
      <c r="E238" s="26">
        <f>F239</f>
        <v>11.86</v>
      </c>
      <c r="F238" s="27">
        <f>F239+F240</f>
        <v>11.86</v>
      </c>
      <c r="G238" s="27">
        <f>G239+G240</f>
        <v>0</v>
      </c>
      <c r="H238" s="27">
        <f>H239+H240</f>
        <v>0</v>
      </c>
      <c r="I238" s="28">
        <f t="shared" si="162"/>
        <v>11.86</v>
      </c>
      <c r="J238" s="27">
        <f t="shared" ref="J238:Q238" si="175">J239+J240</f>
        <v>0</v>
      </c>
      <c r="K238" s="27">
        <f t="shared" si="175"/>
        <v>0</v>
      </c>
      <c r="L238" s="27">
        <f t="shared" si="175"/>
        <v>0</v>
      </c>
      <c r="M238" s="27">
        <f t="shared" si="175"/>
        <v>11.86</v>
      </c>
      <c r="N238" s="85">
        <f t="shared" si="175"/>
        <v>0</v>
      </c>
      <c r="O238" s="85">
        <f t="shared" si="175"/>
        <v>0</v>
      </c>
      <c r="P238" s="85">
        <f t="shared" si="175"/>
        <v>0</v>
      </c>
      <c r="Q238" s="85">
        <f t="shared" si="175"/>
        <v>0</v>
      </c>
      <c r="R238" s="118">
        <f t="shared" si="164"/>
        <v>0</v>
      </c>
      <c r="S238" s="85">
        <f>S239+S240</f>
        <v>0</v>
      </c>
      <c r="T238" s="85">
        <f t="shared" ref="T238:AC238" si="176">T239+T240</f>
        <v>0</v>
      </c>
      <c r="U238" s="85">
        <f t="shared" si="176"/>
        <v>0</v>
      </c>
      <c r="V238" s="85">
        <f t="shared" si="176"/>
        <v>0</v>
      </c>
      <c r="W238" s="85">
        <f t="shared" si="176"/>
        <v>0</v>
      </c>
      <c r="X238" s="85">
        <f t="shared" si="176"/>
        <v>0</v>
      </c>
      <c r="Y238" s="85">
        <f t="shared" si="176"/>
        <v>0</v>
      </c>
      <c r="Z238" s="85">
        <f t="shared" si="176"/>
        <v>0</v>
      </c>
      <c r="AA238" s="85">
        <f t="shared" si="176"/>
        <v>0</v>
      </c>
      <c r="AB238" s="85">
        <f t="shared" si="176"/>
        <v>0</v>
      </c>
      <c r="AC238" s="150">
        <f t="shared" si="176"/>
        <v>0</v>
      </c>
      <c r="AD238" s="146">
        <f t="shared" si="172"/>
        <v>0</v>
      </c>
    </row>
    <row r="239" spans="1:30">
      <c r="A239" s="29"/>
      <c r="B239" s="10" t="s">
        <v>31</v>
      </c>
      <c r="C239" s="33"/>
      <c r="D239" s="33"/>
      <c r="E239" s="33"/>
      <c r="F239" s="33">
        <f>H239+I239+AD239</f>
        <v>11.86</v>
      </c>
      <c r="G239" s="33">
        <v>0</v>
      </c>
      <c r="H239" s="33">
        <v>0</v>
      </c>
      <c r="I239" s="33">
        <f t="shared" si="162"/>
        <v>11.86</v>
      </c>
      <c r="J239" s="11">
        <v>0</v>
      </c>
      <c r="K239" s="11">
        <v>0</v>
      </c>
      <c r="L239" s="42">
        <v>0</v>
      </c>
      <c r="M239" s="46">
        <v>11.86</v>
      </c>
      <c r="N239" s="90">
        <v>0</v>
      </c>
      <c r="O239" s="90">
        <v>0</v>
      </c>
      <c r="P239" s="91">
        <v>0</v>
      </c>
      <c r="Q239" s="91">
        <v>0</v>
      </c>
      <c r="R239" s="119">
        <f t="shared" si="164"/>
        <v>0</v>
      </c>
      <c r="S239" s="91">
        <v>0</v>
      </c>
      <c r="T239" s="91">
        <v>0</v>
      </c>
      <c r="U239" s="91">
        <v>0</v>
      </c>
      <c r="V239" s="91">
        <v>0</v>
      </c>
      <c r="W239" s="91">
        <v>0</v>
      </c>
      <c r="X239" s="91">
        <v>0</v>
      </c>
      <c r="Y239" s="91">
        <v>0</v>
      </c>
      <c r="Z239" s="91">
        <v>0</v>
      </c>
      <c r="AA239" s="91">
        <v>0</v>
      </c>
      <c r="AB239" s="91">
        <v>0</v>
      </c>
      <c r="AC239" s="163">
        <v>0</v>
      </c>
      <c r="AD239" s="148">
        <f t="shared" si="172"/>
        <v>0</v>
      </c>
    </row>
    <row r="240" spans="1:30">
      <c r="A240" s="29"/>
      <c r="B240" s="38" t="s">
        <v>41</v>
      </c>
      <c r="C240" s="33"/>
      <c r="D240" s="33"/>
      <c r="E240" s="33"/>
      <c r="F240" s="33">
        <f>H240+I240+AD240</f>
        <v>0</v>
      </c>
      <c r="G240" s="33">
        <v>0</v>
      </c>
      <c r="H240" s="33">
        <v>0</v>
      </c>
      <c r="I240" s="33">
        <f t="shared" si="162"/>
        <v>0</v>
      </c>
      <c r="J240" s="11">
        <v>0</v>
      </c>
      <c r="K240" s="11">
        <v>0</v>
      </c>
      <c r="L240" s="42">
        <v>0</v>
      </c>
      <c r="M240" s="46">
        <v>0</v>
      </c>
      <c r="N240" s="90">
        <v>0</v>
      </c>
      <c r="O240" s="90">
        <v>0</v>
      </c>
      <c r="P240" s="91">
        <v>0</v>
      </c>
      <c r="Q240" s="91">
        <v>0</v>
      </c>
      <c r="R240" s="119">
        <f t="shared" si="164"/>
        <v>0</v>
      </c>
      <c r="S240" s="91">
        <v>0</v>
      </c>
      <c r="T240" s="91">
        <v>0</v>
      </c>
      <c r="U240" s="91">
        <v>0</v>
      </c>
      <c r="V240" s="91">
        <v>0</v>
      </c>
      <c r="W240" s="91">
        <v>0</v>
      </c>
      <c r="X240" s="91">
        <v>0</v>
      </c>
      <c r="Y240" s="91">
        <v>0</v>
      </c>
      <c r="Z240" s="91">
        <v>0</v>
      </c>
      <c r="AA240" s="91">
        <v>0</v>
      </c>
      <c r="AB240" s="91">
        <v>0</v>
      </c>
      <c r="AC240" s="163">
        <v>0</v>
      </c>
      <c r="AD240" s="148">
        <f t="shared" si="172"/>
        <v>0</v>
      </c>
    </row>
    <row r="241" spans="1:30" ht="22.5">
      <c r="A241" s="20">
        <v>76</v>
      </c>
      <c r="B241" s="23" t="s">
        <v>164</v>
      </c>
      <c r="C241" s="24" t="s">
        <v>344</v>
      </c>
      <c r="D241" s="47" t="s">
        <v>101</v>
      </c>
      <c r="E241" s="26">
        <f>F242</f>
        <v>191.274</v>
      </c>
      <c r="F241" s="27">
        <f>F242+F243</f>
        <v>990.16100000000006</v>
      </c>
      <c r="G241" s="27">
        <f>G242+G243</f>
        <v>0</v>
      </c>
      <c r="H241" s="27">
        <f>H242+H243</f>
        <v>0</v>
      </c>
      <c r="I241" s="28">
        <f t="shared" si="162"/>
        <v>990.16100000000006</v>
      </c>
      <c r="J241" s="27">
        <f t="shared" ref="J241:Q241" si="177">J242+J243</f>
        <v>0</v>
      </c>
      <c r="K241" s="27">
        <f t="shared" si="177"/>
        <v>0</v>
      </c>
      <c r="L241" s="27">
        <f t="shared" si="177"/>
        <v>0</v>
      </c>
      <c r="M241" s="27">
        <f t="shared" si="177"/>
        <v>980.32100000000003</v>
      </c>
      <c r="N241" s="85">
        <f t="shared" si="177"/>
        <v>9.84</v>
      </c>
      <c r="O241" s="85">
        <f t="shared" si="177"/>
        <v>0</v>
      </c>
      <c r="P241" s="85">
        <f t="shared" si="177"/>
        <v>0</v>
      </c>
      <c r="Q241" s="85">
        <f t="shared" si="177"/>
        <v>0</v>
      </c>
      <c r="R241" s="118">
        <f t="shared" si="164"/>
        <v>0</v>
      </c>
      <c r="S241" s="85">
        <f>S242+S243</f>
        <v>0</v>
      </c>
      <c r="T241" s="85">
        <f t="shared" ref="T241:AC241" si="178">T242+T243</f>
        <v>0</v>
      </c>
      <c r="U241" s="85">
        <f t="shared" si="178"/>
        <v>0</v>
      </c>
      <c r="V241" s="85">
        <f t="shared" si="178"/>
        <v>0</v>
      </c>
      <c r="W241" s="85">
        <f t="shared" si="178"/>
        <v>0</v>
      </c>
      <c r="X241" s="85">
        <f t="shared" si="178"/>
        <v>0</v>
      </c>
      <c r="Y241" s="85">
        <f t="shared" si="178"/>
        <v>0</v>
      </c>
      <c r="Z241" s="85">
        <f t="shared" si="178"/>
        <v>0</v>
      </c>
      <c r="AA241" s="85">
        <f t="shared" si="178"/>
        <v>0</v>
      </c>
      <c r="AB241" s="85">
        <f t="shared" si="178"/>
        <v>0</v>
      </c>
      <c r="AC241" s="150">
        <f t="shared" si="178"/>
        <v>0</v>
      </c>
      <c r="AD241" s="146">
        <f t="shared" si="172"/>
        <v>0</v>
      </c>
    </row>
    <row r="242" spans="1:30">
      <c r="A242" s="29"/>
      <c r="B242" s="10" t="s">
        <v>31</v>
      </c>
      <c r="C242" s="33"/>
      <c r="D242" s="33"/>
      <c r="E242" s="33"/>
      <c r="F242" s="33">
        <f>H242+I242+AD242</f>
        <v>191.274</v>
      </c>
      <c r="G242" s="33">
        <v>0</v>
      </c>
      <c r="H242" s="33">
        <v>0</v>
      </c>
      <c r="I242" s="33">
        <f t="shared" si="162"/>
        <v>191.274</v>
      </c>
      <c r="J242" s="11">
        <v>0</v>
      </c>
      <c r="K242" s="11">
        <v>0</v>
      </c>
      <c r="L242" s="42">
        <v>0</v>
      </c>
      <c r="M242" s="12">
        <v>186.602</v>
      </c>
      <c r="N242" s="90">
        <v>4.6719999999999997</v>
      </c>
      <c r="O242" s="90">
        <v>0</v>
      </c>
      <c r="P242" s="91">
        <v>0</v>
      </c>
      <c r="Q242" s="91">
        <v>0</v>
      </c>
      <c r="R242" s="119">
        <f t="shared" si="164"/>
        <v>0</v>
      </c>
      <c r="S242" s="91">
        <v>0</v>
      </c>
      <c r="T242" s="91">
        <v>0</v>
      </c>
      <c r="U242" s="91">
        <v>0</v>
      </c>
      <c r="V242" s="91">
        <v>0</v>
      </c>
      <c r="W242" s="91">
        <v>0</v>
      </c>
      <c r="X242" s="91">
        <v>0</v>
      </c>
      <c r="Y242" s="91">
        <v>0</v>
      </c>
      <c r="Z242" s="91">
        <v>0</v>
      </c>
      <c r="AA242" s="91">
        <v>0</v>
      </c>
      <c r="AB242" s="91">
        <v>0</v>
      </c>
      <c r="AC242" s="163">
        <v>0</v>
      </c>
      <c r="AD242" s="148">
        <f t="shared" si="172"/>
        <v>0</v>
      </c>
    </row>
    <row r="243" spans="1:30">
      <c r="A243" s="29"/>
      <c r="B243" s="38" t="s">
        <v>41</v>
      </c>
      <c r="C243" s="33"/>
      <c r="D243" s="33"/>
      <c r="E243" s="33"/>
      <c r="F243" s="33">
        <f>H243+I243+AD243</f>
        <v>798.88700000000006</v>
      </c>
      <c r="G243" s="33">
        <v>0</v>
      </c>
      <c r="H243" s="33">
        <v>0</v>
      </c>
      <c r="I243" s="33">
        <f t="shared" si="162"/>
        <v>798.88700000000006</v>
      </c>
      <c r="J243" s="11">
        <v>0</v>
      </c>
      <c r="K243" s="11">
        <v>0</v>
      </c>
      <c r="L243" s="42">
        <v>0</v>
      </c>
      <c r="M243" s="12">
        <v>793.71900000000005</v>
      </c>
      <c r="N243" s="90">
        <v>5.1680000000000001</v>
      </c>
      <c r="O243" s="90">
        <v>0</v>
      </c>
      <c r="P243" s="91">
        <v>0</v>
      </c>
      <c r="Q243" s="91">
        <v>0</v>
      </c>
      <c r="R243" s="119">
        <f t="shared" si="164"/>
        <v>0</v>
      </c>
      <c r="S243" s="91">
        <v>0</v>
      </c>
      <c r="T243" s="91">
        <v>0</v>
      </c>
      <c r="U243" s="91">
        <v>0</v>
      </c>
      <c r="V243" s="91">
        <v>0</v>
      </c>
      <c r="W243" s="91">
        <v>0</v>
      </c>
      <c r="X243" s="91">
        <v>0</v>
      </c>
      <c r="Y243" s="91">
        <v>0</v>
      </c>
      <c r="Z243" s="91">
        <v>0</v>
      </c>
      <c r="AA243" s="91">
        <v>0</v>
      </c>
      <c r="AB243" s="91">
        <v>0</v>
      </c>
      <c r="AC243" s="163">
        <v>0</v>
      </c>
      <c r="AD243" s="148">
        <f t="shared" si="172"/>
        <v>0</v>
      </c>
    </row>
    <row r="244" spans="1:30" ht="22.5">
      <c r="A244" s="20">
        <v>77</v>
      </c>
      <c r="B244" s="23" t="s">
        <v>165</v>
      </c>
      <c r="C244" s="24" t="s">
        <v>344</v>
      </c>
      <c r="D244" s="47" t="s">
        <v>101</v>
      </c>
      <c r="E244" s="26">
        <f>F245</f>
        <v>3.2490000000000001</v>
      </c>
      <c r="F244" s="27">
        <f>F245+F246</f>
        <v>20.5</v>
      </c>
      <c r="G244" s="27">
        <f>G245+G246</f>
        <v>0</v>
      </c>
      <c r="H244" s="27">
        <f>H245+H246</f>
        <v>0</v>
      </c>
      <c r="I244" s="28">
        <f t="shared" si="162"/>
        <v>20.5</v>
      </c>
      <c r="J244" s="27">
        <f t="shared" ref="J244:Q244" si="179">J245+J246</f>
        <v>0</v>
      </c>
      <c r="K244" s="27">
        <f t="shared" si="179"/>
        <v>0</v>
      </c>
      <c r="L244" s="27">
        <f t="shared" si="179"/>
        <v>0</v>
      </c>
      <c r="M244" s="27">
        <f t="shared" si="179"/>
        <v>20.5</v>
      </c>
      <c r="N244" s="85">
        <f t="shared" si="179"/>
        <v>0</v>
      </c>
      <c r="O244" s="85">
        <f t="shared" si="179"/>
        <v>0</v>
      </c>
      <c r="P244" s="85">
        <f t="shared" si="179"/>
        <v>0</v>
      </c>
      <c r="Q244" s="85">
        <f t="shared" si="179"/>
        <v>0</v>
      </c>
      <c r="R244" s="118">
        <f t="shared" si="164"/>
        <v>0</v>
      </c>
      <c r="S244" s="85">
        <f>S245+S246</f>
        <v>0</v>
      </c>
      <c r="T244" s="85">
        <f t="shared" ref="T244:AC244" si="180">T245+T246</f>
        <v>0</v>
      </c>
      <c r="U244" s="85">
        <f t="shared" si="180"/>
        <v>0</v>
      </c>
      <c r="V244" s="85">
        <f t="shared" si="180"/>
        <v>0</v>
      </c>
      <c r="W244" s="85">
        <f t="shared" si="180"/>
        <v>0</v>
      </c>
      <c r="X244" s="85">
        <f t="shared" si="180"/>
        <v>0</v>
      </c>
      <c r="Y244" s="85">
        <f t="shared" si="180"/>
        <v>0</v>
      </c>
      <c r="Z244" s="85">
        <f t="shared" si="180"/>
        <v>0</v>
      </c>
      <c r="AA244" s="85">
        <f t="shared" si="180"/>
        <v>0</v>
      </c>
      <c r="AB244" s="85">
        <f t="shared" si="180"/>
        <v>0</v>
      </c>
      <c r="AC244" s="150">
        <f t="shared" si="180"/>
        <v>0</v>
      </c>
      <c r="AD244" s="146">
        <f t="shared" si="172"/>
        <v>0</v>
      </c>
    </row>
    <row r="245" spans="1:30">
      <c r="A245" s="29"/>
      <c r="B245" s="10" t="s">
        <v>31</v>
      </c>
      <c r="C245" s="33"/>
      <c r="D245" s="33"/>
      <c r="E245" s="33"/>
      <c r="F245" s="33">
        <f>H245+I245+AD245</f>
        <v>3.2490000000000001</v>
      </c>
      <c r="G245" s="33">
        <v>0</v>
      </c>
      <c r="H245" s="33">
        <v>0</v>
      </c>
      <c r="I245" s="33">
        <f t="shared" si="162"/>
        <v>3.2490000000000001</v>
      </c>
      <c r="J245" s="11">
        <v>0</v>
      </c>
      <c r="K245" s="11">
        <v>0</v>
      </c>
      <c r="L245" s="42">
        <v>0</v>
      </c>
      <c r="M245" s="42">
        <v>3.2490000000000001</v>
      </c>
      <c r="N245" s="91">
        <v>0</v>
      </c>
      <c r="O245" s="90">
        <v>0</v>
      </c>
      <c r="P245" s="91">
        <v>0</v>
      </c>
      <c r="Q245" s="91">
        <v>0</v>
      </c>
      <c r="R245" s="119">
        <f t="shared" si="164"/>
        <v>0</v>
      </c>
      <c r="S245" s="91">
        <v>0</v>
      </c>
      <c r="T245" s="91">
        <v>0</v>
      </c>
      <c r="U245" s="91">
        <v>0</v>
      </c>
      <c r="V245" s="91">
        <v>0</v>
      </c>
      <c r="W245" s="91">
        <v>0</v>
      </c>
      <c r="X245" s="91">
        <v>0</v>
      </c>
      <c r="Y245" s="91">
        <v>0</v>
      </c>
      <c r="Z245" s="91">
        <v>0</v>
      </c>
      <c r="AA245" s="91">
        <v>0</v>
      </c>
      <c r="AB245" s="91">
        <v>0</v>
      </c>
      <c r="AC245" s="163">
        <v>0</v>
      </c>
      <c r="AD245" s="148">
        <f t="shared" si="172"/>
        <v>0</v>
      </c>
    </row>
    <row r="246" spans="1:30">
      <c r="A246" s="29"/>
      <c r="B246" s="38" t="s">
        <v>41</v>
      </c>
      <c r="C246" s="33"/>
      <c r="D246" s="33"/>
      <c r="E246" s="33"/>
      <c r="F246" s="33">
        <f>H246+I246+AD246</f>
        <v>17.251000000000001</v>
      </c>
      <c r="G246" s="33">
        <v>0</v>
      </c>
      <c r="H246" s="33">
        <v>0</v>
      </c>
      <c r="I246" s="33">
        <f t="shared" si="162"/>
        <v>17.251000000000001</v>
      </c>
      <c r="J246" s="11">
        <v>0</v>
      </c>
      <c r="K246" s="11">
        <v>0</v>
      </c>
      <c r="L246" s="42">
        <v>0</v>
      </c>
      <c r="M246" s="42">
        <v>17.251000000000001</v>
      </c>
      <c r="N246" s="91">
        <v>0</v>
      </c>
      <c r="O246" s="90">
        <v>0</v>
      </c>
      <c r="P246" s="91">
        <v>0</v>
      </c>
      <c r="Q246" s="91">
        <v>0</v>
      </c>
      <c r="R246" s="119">
        <f t="shared" si="164"/>
        <v>0</v>
      </c>
      <c r="S246" s="91">
        <v>0</v>
      </c>
      <c r="T246" s="91">
        <v>0</v>
      </c>
      <c r="U246" s="91">
        <v>0</v>
      </c>
      <c r="V246" s="91">
        <v>0</v>
      </c>
      <c r="W246" s="91">
        <v>0</v>
      </c>
      <c r="X246" s="91">
        <v>0</v>
      </c>
      <c r="Y246" s="91">
        <v>0</v>
      </c>
      <c r="Z246" s="91">
        <v>0</v>
      </c>
      <c r="AA246" s="91">
        <v>0</v>
      </c>
      <c r="AB246" s="91">
        <v>0</v>
      </c>
      <c r="AC246" s="163">
        <v>0</v>
      </c>
      <c r="AD246" s="148">
        <f t="shared" si="172"/>
        <v>0</v>
      </c>
    </row>
    <row r="247" spans="1:30" ht="21.75" customHeight="1">
      <c r="A247" s="20">
        <v>78</v>
      </c>
      <c r="B247" s="23" t="s">
        <v>166</v>
      </c>
      <c r="C247" s="24" t="s">
        <v>344</v>
      </c>
      <c r="D247" s="47" t="s">
        <v>101</v>
      </c>
      <c r="E247" s="26">
        <f>F248</f>
        <v>1.599</v>
      </c>
      <c r="F247" s="27">
        <f>F248+F249</f>
        <v>10.66</v>
      </c>
      <c r="G247" s="28">
        <f>G248</f>
        <v>0</v>
      </c>
      <c r="H247" s="28">
        <f>H248</f>
        <v>0</v>
      </c>
      <c r="I247" s="28">
        <f t="shared" si="162"/>
        <v>10.66</v>
      </c>
      <c r="J247" s="27">
        <f t="shared" ref="J247:AD247" si="181">J248+J249</f>
        <v>0</v>
      </c>
      <c r="K247" s="27">
        <f t="shared" si="181"/>
        <v>0</v>
      </c>
      <c r="L247" s="27">
        <f t="shared" si="181"/>
        <v>0</v>
      </c>
      <c r="M247" s="27">
        <f t="shared" si="181"/>
        <v>10.66</v>
      </c>
      <c r="N247" s="85">
        <f t="shared" si="181"/>
        <v>0</v>
      </c>
      <c r="O247" s="85">
        <f t="shared" si="181"/>
        <v>0</v>
      </c>
      <c r="P247" s="85">
        <f t="shared" si="181"/>
        <v>0</v>
      </c>
      <c r="Q247" s="85">
        <f t="shared" si="181"/>
        <v>0</v>
      </c>
      <c r="R247" s="118">
        <f t="shared" si="181"/>
        <v>0</v>
      </c>
      <c r="S247" s="85">
        <f t="shared" si="181"/>
        <v>0</v>
      </c>
      <c r="T247" s="85">
        <f t="shared" si="181"/>
        <v>0</v>
      </c>
      <c r="U247" s="85">
        <f t="shared" si="181"/>
        <v>0</v>
      </c>
      <c r="V247" s="85">
        <f t="shared" si="181"/>
        <v>0</v>
      </c>
      <c r="W247" s="85">
        <f t="shared" si="181"/>
        <v>0</v>
      </c>
      <c r="X247" s="85">
        <f t="shared" si="181"/>
        <v>0</v>
      </c>
      <c r="Y247" s="85">
        <f t="shared" si="181"/>
        <v>0</v>
      </c>
      <c r="Z247" s="85">
        <f t="shared" si="181"/>
        <v>0</v>
      </c>
      <c r="AA247" s="85">
        <f t="shared" si="181"/>
        <v>0</v>
      </c>
      <c r="AB247" s="85">
        <f t="shared" si="181"/>
        <v>0</v>
      </c>
      <c r="AC247" s="150">
        <f t="shared" si="181"/>
        <v>0</v>
      </c>
      <c r="AD247" s="146">
        <f t="shared" si="181"/>
        <v>0</v>
      </c>
    </row>
    <row r="248" spans="1:30">
      <c r="A248" s="29"/>
      <c r="B248" s="10" t="s">
        <v>31</v>
      </c>
      <c r="C248" s="33"/>
      <c r="D248" s="33"/>
      <c r="E248" s="33"/>
      <c r="F248" s="33">
        <f>H248+I248+AD248</f>
        <v>1.599</v>
      </c>
      <c r="G248" s="33">
        <v>0</v>
      </c>
      <c r="H248" s="33">
        <v>0</v>
      </c>
      <c r="I248" s="33">
        <f t="shared" si="162"/>
        <v>1.599</v>
      </c>
      <c r="J248" s="11">
        <v>0</v>
      </c>
      <c r="K248" s="11">
        <v>0</v>
      </c>
      <c r="L248" s="42">
        <v>0</v>
      </c>
      <c r="M248" s="42">
        <v>1.599</v>
      </c>
      <c r="N248" s="91">
        <v>0</v>
      </c>
      <c r="O248" s="90">
        <v>0</v>
      </c>
      <c r="P248" s="91">
        <v>0</v>
      </c>
      <c r="Q248" s="91">
        <v>0</v>
      </c>
      <c r="R248" s="119">
        <f t="shared" ref="R248:R264" si="182">SUM(S248:AC248)</f>
        <v>0</v>
      </c>
      <c r="S248" s="91">
        <v>0</v>
      </c>
      <c r="T248" s="91">
        <v>0</v>
      </c>
      <c r="U248" s="91">
        <v>0</v>
      </c>
      <c r="V248" s="91">
        <v>0</v>
      </c>
      <c r="W248" s="91">
        <v>0</v>
      </c>
      <c r="X248" s="91">
        <v>0</v>
      </c>
      <c r="Y248" s="91">
        <v>0</v>
      </c>
      <c r="Z248" s="91">
        <v>0</v>
      </c>
      <c r="AA248" s="91">
        <v>0</v>
      </c>
      <c r="AB248" s="91">
        <v>0</v>
      </c>
      <c r="AC248" s="163">
        <v>0</v>
      </c>
      <c r="AD248" s="148">
        <f t="shared" si="172"/>
        <v>0</v>
      </c>
    </row>
    <row r="249" spans="1:30">
      <c r="A249" s="29"/>
      <c r="B249" s="38" t="s">
        <v>41</v>
      </c>
      <c r="C249" s="33"/>
      <c r="D249" s="33"/>
      <c r="E249" s="33"/>
      <c r="F249" s="33">
        <f>H249+I249+AD249</f>
        <v>9.0609999999999999</v>
      </c>
      <c r="G249" s="33">
        <v>0</v>
      </c>
      <c r="H249" s="33">
        <v>0</v>
      </c>
      <c r="I249" s="33">
        <f t="shared" si="162"/>
        <v>9.0609999999999999</v>
      </c>
      <c r="J249" s="11">
        <v>0</v>
      </c>
      <c r="K249" s="11">
        <v>0</v>
      </c>
      <c r="L249" s="42">
        <v>0</v>
      </c>
      <c r="M249" s="42">
        <v>9.0609999999999999</v>
      </c>
      <c r="N249" s="91">
        <v>0</v>
      </c>
      <c r="O249" s="90">
        <v>0</v>
      </c>
      <c r="P249" s="91">
        <v>0</v>
      </c>
      <c r="Q249" s="91">
        <v>0</v>
      </c>
      <c r="R249" s="119">
        <f t="shared" si="182"/>
        <v>0</v>
      </c>
      <c r="S249" s="91">
        <v>0</v>
      </c>
      <c r="T249" s="91">
        <v>0</v>
      </c>
      <c r="U249" s="91">
        <v>0</v>
      </c>
      <c r="V249" s="91">
        <v>0</v>
      </c>
      <c r="W249" s="91">
        <v>0</v>
      </c>
      <c r="X249" s="91">
        <v>0</v>
      </c>
      <c r="Y249" s="91">
        <v>0</v>
      </c>
      <c r="Z249" s="91">
        <v>0</v>
      </c>
      <c r="AA249" s="91">
        <v>0</v>
      </c>
      <c r="AB249" s="91">
        <v>0</v>
      </c>
      <c r="AC249" s="163">
        <v>0</v>
      </c>
      <c r="AD249" s="148">
        <f t="shared" si="172"/>
        <v>0</v>
      </c>
    </row>
    <row r="250" spans="1:30" ht="33.75">
      <c r="A250" s="20">
        <v>79</v>
      </c>
      <c r="B250" s="23" t="s">
        <v>167</v>
      </c>
      <c r="C250" s="24" t="s">
        <v>342</v>
      </c>
      <c r="D250" s="47" t="s">
        <v>60</v>
      </c>
      <c r="E250" s="26">
        <f>F251</f>
        <v>13208.019</v>
      </c>
      <c r="F250" s="27">
        <f>F251+F252</f>
        <v>24509.434000000001</v>
      </c>
      <c r="G250" s="27">
        <f>G251+G252</f>
        <v>0</v>
      </c>
      <c r="H250" s="27">
        <f>H251+H252</f>
        <v>0</v>
      </c>
      <c r="I250" s="28">
        <f t="shared" si="162"/>
        <v>24509.433999999997</v>
      </c>
      <c r="J250" s="27">
        <f t="shared" ref="J250:Q250" si="183">J251+J252</f>
        <v>0</v>
      </c>
      <c r="K250" s="27">
        <f t="shared" si="183"/>
        <v>0</v>
      </c>
      <c r="L250" s="27">
        <f t="shared" si="183"/>
        <v>329</v>
      </c>
      <c r="M250" s="27">
        <f t="shared" si="183"/>
        <v>1333.374</v>
      </c>
      <c r="N250" s="85">
        <f t="shared" si="183"/>
        <v>20382.625999999997</v>
      </c>
      <c r="O250" s="85">
        <f t="shared" si="183"/>
        <v>2464.4340000000002</v>
      </c>
      <c r="P250" s="85">
        <f t="shared" si="183"/>
        <v>0</v>
      </c>
      <c r="Q250" s="85">
        <f t="shared" si="183"/>
        <v>0</v>
      </c>
      <c r="R250" s="118">
        <f t="shared" si="182"/>
        <v>0</v>
      </c>
      <c r="S250" s="85">
        <f>S251+S252</f>
        <v>0</v>
      </c>
      <c r="T250" s="85">
        <f t="shared" ref="T250:AC250" si="184">T251+T252</f>
        <v>0</v>
      </c>
      <c r="U250" s="85">
        <f t="shared" si="184"/>
        <v>0</v>
      </c>
      <c r="V250" s="85">
        <f t="shared" si="184"/>
        <v>0</v>
      </c>
      <c r="W250" s="85">
        <f t="shared" si="184"/>
        <v>0</v>
      </c>
      <c r="X250" s="85">
        <f t="shared" si="184"/>
        <v>0</v>
      </c>
      <c r="Y250" s="85">
        <f t="shared" si="184"/>
        <v>0</v>
      </c>
      <c r="Z250" s="85">
        <f t="shared" si="184"/>
        <v>0</v>
      </c>
      <c r="AA250" s="85">
        <f t="shared" si="184"/>
        <v>0</v>
      </c>
      <c r="AB250" s="85">
        <f t="shared" si="184"/>
        <v>0</v>
      </c>
      <c r="AC250" s="150">
        <f t="shared" si="184"/>
        <v>0</v>
      </c>
      <c r="AD250" s="146">
        <f t="shared" si="172"/>
        <v>0</v>
      </c>
    </row>
    <row r="251" spans="1:30">
      <c r="A251" s="29"/>
      <c r="B251" s="10" t="s">
        <v>31</v>
      </c>
      <c r="C251" s="33"/>
      <c r="D251" s="33"/>
      <c r="E251" s="33"/>
      <c r="F251" s="33">
        <f>H251+I251+AD251</f>
        <v>13208.019</v>
      </c>
      <c r="G251" s="33">
        <v>0</v>
      </c>
      <c r="H251" s="33">
        <v>0</v>
      </c>
      <c r="I251" s="33">
        <f t="shared" si="162"/>
        <v>13208.019</v>
      </c>
      <c r="J251" s="11">
        <v>0</v>
      </c>
      <c r="K251" s="11">
        <v>0</v>
      </c>
      <c r="L251" s="42">
        <v>329</v>
      </c>
      <c r="M251" s="12">
        <f>5.904+14.834+196.896</f>
        <v>217.63399999999999</v>
      </c>
      <c r="N251" s="87">
        <f>10196.951</f>
        <v>10196.950999999999</v>
      </c>
      <c r="O251" s="86">
        <v>2464.4340000000002</v>
      </c>
      <c r="P251" s="91">
        <v>0</v>
      </c>
      <c r="Q251" s="91">
        <v>0</v>
      </c>
      <c r="R251" s="119">
        <f t="shared" si="182"/>
        <v>0</v>
      </c>
      <c r="S251" s="91">
        <v>0</v>
      </c>
      <c r="T251" s="91">
        <v>0</v>
      </c>
      <c r="U251" s="91">
        <v>0</v>
      </c>
      <c r="V251" s="91">
        <v>0</v>
      </c>
      <c r="W251" s="91">
        <v>0</v>
      </c>
      <c r="X251" s="91">
        <v>0</v>
      </c>
      <c r="Y251" s="91">
        <v>0</v>
      </c>
      <c r="Z251" s="91">
        <v>0</v>
      </c>
      <c r="AA251" s="91">
        <v>0</v>
      </c>
      <c r="AB251" s="91">
        <v>0</v>
      </c>
      <c r="AC251" s="163">
        <v>0</v>
      </c>
      <c r="AD251" s="148">
        <f t="shared" si="172"/>
        <v>0</v>
      </c>
    </row>
    <row r="252" spans="1:30">
      <c r="A252" s="29"/>
      <c r="B252" s="38" t="s">
        <v>41</v>
      </c>
      <c r="C252" s="33"/>
      <c r="D252" s="33"/>
      <c r="E252" s="33"/>
      <c r="F252" s="33">
        <f>H252+I252+AD252</f>
        <v>11301.414999999999</v>
      </c>
      <c r="G252" s="33">
        <v>0</v>
      </c>
      <c r="H252" s="33">
        <v>0</v>
      </c>
      <c r="I252" s="33">
        <f t="shared" si="162"/>
        <v>11301.414999999999</v>
      </c>
      <c r="J252" s="11">
        <v>0</v>
      </c>
      <c r="K252" s="11">
        <v>0</v>
      </c>
      <c r="L252" s="42">
        <v>0</v>
      </c>
      <c r="M252" s="12">
        <v>1115.74</v>
      </c>
      <c r="N252" s="87">
        <v>10185.674999999999</v>
      </c>
      <c r="O252" s="90">
        <v>0</v>
      </c>
      <c r="P252" s="91">
        <v>0</v>
      </c>
      <c r="Q252" s="91">
        <v>0</v>
      </c>
      <c r="R252" s="119">
        <f t="shared" si="182"/>
        <v>0</v>
      </c>
      <c r="S252" s="91">
        <v>0</v>
      </c>
      <c r="T252" s="91">
        <v>0</v>
      </c>
      <c r="U252" s="91">
        <v>0</v>
      </c>
      <c r="V252" s="91">
        <v>0</v>
      </c>
      <c r="W252" s="91">
        <v>0</v>
      </c>
      <c r="X252" s="91">
        <v>0</v>
      </c>
      <c r="Y252" s="91">
        <v>0</v>
      </c>
      <c r="Z252" s="91">
        <v>0</v>
      </c>
      <c r="AA252" s="91">
        <v>0</v>
      </c>
      <c r="AB252" s="91">
        <v>0</v>
      </c>
      <c r="AC252" s="163">
        <v>0</v>
      </c>
      <c r="AD252" s="148">
        <f t="shared" si="172"/>
        <v>0</v>
      </c>
    </row>
    <row r="253" spans="1:30" ht="36" customHeight="1">
      <c r="A253" s="55">
        <v>80</v>
      </c>
      <c r="B253" s="56" t="s">
        <v>423</v>
      </c>
      <c r="C253" s="57" t="s">
        <v>160</v>
      </c>
      <c r="D253" s="58" t="s">
        <v>387</v>
      </c>
      <c r="E253" s="101">
        <f>F254</f>
        <v>1200</v>
      </c>
      <c r="F253" s="69">
        <f>F254</f>
        <v>1200</v>
      </c>
      <c r="G253" s="59"/>
      <c r="H253" s="59"/>
      <c r="I253" s="28">
        <f t="shared" ref="I253:I260" si="185">SUM(K253:O253)</f>
        <v>0</v>
      </c>
      <c r="J253" s="60"/>
      <c r="K253" s="60"/>
      <c r="L253" s="61"/>
      <c r="M253" s="52">
        <f>M254</f>
        <v>0</v>
      </c>
      <c r="N253" s="96">
        <f>N254</f>
        <v>0</v>
      </c>
      <c r="O253" s="88">
        <f>O254</f>
        <v>0</v>
      </c>
      <c r="P253" s="88">
        <f t="shared" ref="P253:Q259" si="186">P254</f>
        <v>1200</v>
      </c>
      <c r="Q253" s="88">
        <f t="shared" si="186"/>
        <v>0</v>
      </c>
      <c r="R253" s="118">
        <v>0</v>
      </c>
      <c r="S253" s="85">
        <f>S254</f>
        <v>0</v>
      </c>
      <c r="T253" s="85">
        <f t="shared" ref="T253:AC259" si="187">T254</f>
        <v>0</v>
      </c>
      <c r="U253" s="85">
        <f t="shared" si="187"/>
        <v>0</v>
      </c>
      <c r="V253" s="85">
        <f t="shared" si="187"/>
        <v>0</v>
      </c>
      <c r="W253" s="85">
        <f t="shared" si="187"/>
        <v>0</v>
      </c>
      <c r="X253" s="85">
        <f t="shared" si="187"/>
        <v>0</v>
      </c>
      <c r="Y253" s="85">
        <f t="shared" si="187"/>
        <v>0</v>
      </c>
      <c r="Z253" s="85">
        <f t="shared" si="187"/>
        <v>0</v>
      </c>
      <c r="AA253" s="85">
        <f t="shared" si="187"/>
        <v>0</v>
      </c>
      <c r="AB253" s="85">
        <f t="shared" si="187"/>
        <v>0</v>
      </c>
      <c r="AC253" s="150">
        <f t="shared" si="187"/>
        <v>0</v>
      </c>
      <c r="AD253" s="146">
        <f t="shared" ref="AD253:AD258" si="188">P253+Q253+R253</f>
        <v>1200</v>
      </c>
    </row>
    <row r="254" spans="1:30">
      <c r="A254" s="134"/>
      <c r="B254" s="10" t="s">
        <v>31</v>
      </c>
      <c r="C254" s="33"/>
      <c r="D254" s="33"/>
      <c r="E254" s="33"/>
      <c r="F254" s="33">
        <f>H254+I254+AD254</f>
        <v>1200</v>
      </c>
      <c r="G254" s="33"/>
      <c r="H254" s="33"/>
      <c r="I254" s="33">
        <f t="shared" si="185"/>
        <v>0</v>
      </c>
      <c r="J254" s="11"/>
      <c r="K254" s="11"/>
      <c r="L254" s="42"/>
      <c r="M254" s="12">
        <v>0</v>
      </c>
      <c r="N254" s="87">
        <v>0</v>
      </c>
      <c r="O254" s="90">
        <v>0</v>
      </c>
      <c r="P254" s="91">
        <v>1200</v>
      </c>
      <c r="Q254" s="91">
        <v>0</v>
      </c>
      <c r="R254" s="119">
        <f>SUM(S254:AC254)</f>
        <v>0</v>
      </c>
      <c r="S254" s="91">
        <v>0</v>
      </c>
      <c r="T254" s="91">
        <v>0</v>
      </c>
      <c r="U254" s="91">
        <v>0</v>
      </c>
      <c r="V254" s="91">
        <v>0</v>
      </c>
      <c r="W254" s="91">
        <v>0</v>
      </c>
      <c r="X254" s="91">
        <v>0</v>
      </c>
      <c r="Y254" s="91">
        <v>0</v>
      </c>
      <c r="Z254" s="91">
        <v>0</v>
      </c>
      <c r="AA254" s="91">
        <v>0</v>
      </c>
      <c r="AB254" s="91">
        <v>0</v>
      </c>
      <c r="AC254" s="163">
        <v>0</v>
      </c>
      <c r="AD254" s="148">
        <f t="shared" si="188"/>
        <v>1200</v>
      </c>
    </row>
    <row r="255" spans="1:30" ht="36" customHeight="1">
      <c r="A255" s="55">
        <v>81</v>
      </c>
      <c r="B255" s="56" t="s">
        <v>427</v>
      </c>
      <c r="C255" s="57" t="s">
        <v>160</v>
      </c>
      <c r="D255" s="58" t="s">
        <v>428</v>
      </c>
      <c r="E255" s="101">
        <f>F256</f>
        <v>8000.0000000000009</v>
      </c>
      <c r="F255" s="69">
        <f>F256</f>
        <v>8000.0000000000009</v>
      </c>
      <c r="G255" s="59"/>
      <c r="H255" s="59"/>
      <c r="I255" s="28">
        <f t="shared" si="185"/>
        <v>131.613</v>
      </c>
      <c r="J255" s="60"/>
      <c r="K255" s="60"/>
      <c r="L255" s="61"/>
      <c r="M255" s="52">
        <f>M256</f>
        <v>0</v>
      </c>
      <c r="N255" s="96">
        <f>N256</f>
        <v>0</v>
      </c>
      <c r="O255" s="88">
        <f>O256</f>
        <v>131.613</v>
      </c>
      <c r="P255" s="88">
        <f t="shared" si="186"/>
        <v>2668.3870000000002</v>
      </c>
      <c r="Q255" s="88">
        <f t="shared" si="186"/>
        <v>2600</v>
      </c>
      <c r="R255" s="118">
        <v>0</v>
      </c>
      <c r="S255" s="85">
        <f>S256</f>
        <v>2600</v>
      </c>
      <c r="T255" s="85">
        <f t="shared" si="187"/>
        <v>0</v>
      </c>
      <c r="U255" s="85">
        <f t="shared" si="187"/>
        <v>0</v>
      </c>
      <c r="V255" s="85">
        <f t="shared" si="187"/>
        <v>0</v>
      </c>
      <c r="W255" s="85">
        <f t="shared" si="187"/>
        <v>0</v>
      </c>
      <c r="X255" s="85">
        <f t="shared" si="187"/>
        <v>0</v>
      </c>
      <c r="Y255" s="85">
        <f t="shared" si="187"/>
        <v>0</v>
      </c>
      <c r="Z255" s="85">
        <f t="shared" si="187"/>
        <v>0</v>
      </c>
      <c r="AA255" s="85">
        <f t="shared" si="187"/>
        <v>0</v>
      </c>
      <c r="AB255" s="85">
        <f t="shared" si="187"/>
        <v>0</v>
      </c>
      <c r="AC255" s="150">
        <f t="shared" si="187"/>
        <v>0</v>
      </c>
      <c r="AD255" s="146">
        <f t="shared" si="188"/>
        <v>5268.3870000000006</v>
      </c>
    </row>
    <row r="256" spans="1:30">
      <c r="A256" s="29"/>
      <c r="B256" s="10" t="s">
        <v>31</v>
      </c>
      <c r="C256" s="33"/>
      <c r="D256" s="33"/>
      <c r="E256" s="33"/>
      <c r="F256" s="33">
        <f>H256+I256+AD256</f>
        <v>8000.0000000000009</v>
      </c>
      <c r="G256" s="33"/>
      <c r="H256" s="33"/>
      <c r="I256" s="33">
        <f t="shared" si="185"/>
        <v>131.613</v>
      </c>
      <c r="J256" s="11"/>
      <c r="K256" s="11"/>
      <c r="L256" s="42"/>
      <c r="M256" s="12">
        <v>0</v>
      </c>
      <c r="N256" s="87">
        <v>0</v>
      </c>
      <c r="O256" s="90">
        <v>131.613</v>
      </c>
      <c r="P256" s="91">
        <v>2668.3870000000002</v>
      </c>
      <c r="Q256" s="91">
        <v>2600</v>
      </c>
      <c r="R256" s="119">
        <f>SUM(S256:AC256)</f>
        <v>2600</v>
      </c>
      <c r="S256" s="91">
        <v>2600</v>
      </c>
      <c r="T256" s="91">
        <v>0</v>
      </c>
      <c r="U256" s="91">
        <v>0</v>
      </c>
      <c r="V256" s="91">
        <v>0</v>
      </c>
      <c r="W256" s="91">
        <v>0</v>
      </c>
      <c r="X256" s="91">
        <v>0</v>
      </c>
      <c r="Y256" s="91">
        <v>0</v>
      </c>
      <c r="Z256" s="91">
        <v>0</v>
      </c>
      <c r="AA256" s="91">
        <v>0</v>
      </c>
      <c r="AB256" s="91">
        <v>0</v>
      </c>
      <c r="AC256" s="163">
        <v>0</v>
      </c>
      <c r="AD256" s="148">
        <f t="shared" si="188"/>
        <v>7868.3870000000006</v>
      </c>
    </row>
    <row r="257" spans="1:30" ht="36" customHeight="1">
      <c r="A257" s="55">
        <v>82</v>
      </c>
      <c r="B257" s="56" t="s">
        <v>429</v>
      </c>
      <c r="C257" s="57" t="s">
        <v>160</v>
      </c>
      <c r="D257" s="58" t="s">
        <v>387</v>
      </c>
      <c r="E257" s="101">
        <f>F258</f>
        <v>4400</v>
      </c>
      <c r="F257" s="69">
        <f>F258</f>
        <v>4400</v>
      </c>
      <c r="G257" s="59"/>
      <c r="H257" s="59"/>
      <c r="I257" s="28">
        <f t="shared" si="185"/>
        <v>1000</v>
      </c>
      <c r="J257" s="60"/>
      <c r="K257" s="60"/>
      <c r="L257" s="61"/>
      <c r="M257" s="52">
        <f>M258</f>
        <v>0</v>
      </c>
      <c r="N257" s="96">
        <f>N258</f>
        <v>0</v>
      </c>
      <c r="O257" s="88">
        <f>O258</f>
        <v>1000</v>
      </c>
      <c r="P257" s="88">
        <f t="shared" si="186"/>
        <v>3400</v>
      </c>
      <c r="Q257" s="88">
        <f t="shared" si="186"/>
        <v>0</v>
      </c>
      <c r="R257" s="118">
        <v>0</v>
      </c>
      <c r="S257" s="85">
        <f>S258</f>
        <v>0</v>
      </c>
      <c r="T257" s="85">
        <f t="shared" si="187"/>
        <v>0</v>
      </c>
      <c r="U257" s="85">
        <f t="shared" si="187"/>
        <v>0</v>
      </c>
      <c r="V257" s="85">
        <f t="shared" si="187"/>
        <v>0</v>
      </c>
      <c r="W257" s="85">
        <f t="shared" si="187"/>
        <v>0</v>
      </c>
      <c r="X257" s="85">
        <f t="shared" si="187"/>
        <v>0</v>
      </c>
      <c r="Y257" s="85">
        <f t="shared" si="187"/>
        <v>0</v>
      </c>
      <c r="Z257" s="85">
        <f t="shared" si="187"/>
        <v>0</v>
      </c>
      <c r="AA257" s="85">
        <f t="shared" si="187"/>
        <v>0</v>
      </c>
      <c r="AB257" s="85">
        <f t="shared" si="187"/>
        <v>0</v>
      </c>
      <c r="AC257" s="150">
        <f t="shared" si="187"/>
        <v>0</v>
      </c>
      <c r="AD257" s="146">
        <f t="shared" si="188"/>
        <v>3400</v>
      </c>
    </row>
    <row r="258" spans="1:30">
      <c r="A258" s="29"/>
      <c r="B258" s="10" t="s">
        <v>31</v>
      </c>
      <c r="C258" s="33"/>
      <c r="D258" s="33"/>
      <c r="E258" s="33"/>
      <c r="F258" s="33">
        <f>H258+I258+AD258</f>
        <v>4400</v>
      </c>
      <c r="G258" s="33"/>
      <c r="H258" s="33"/>
      <c r="I258" s="33">
        <f t="shared" si="185"/>
        <v>1000</v>
      </c>
      <c r="J258" s="11"/>
      <c r="K258" s="11"/>
      <c r="L258" s="42"/>
      <c r="M258" s="12">
        <v>0</v>
      </c>
      <c r="N258" s="87">
        <v>0</v>
      </c>
      <c r="O258" s="90">
        <v>1000</v>
      </c>
      <c r="P258" s="91">
        <v>3400</v>
      </c>
      <c r="Q258" s="91">
        <v>0</v>
      </c>
      <c r="R258" s="119">
        <f>SUM(S258:AC258)</f>
        <v>0</v>
      </c>
      <c r="S258" s="91">
        <v>0</v>
      </c>
      <c r="T258" s="91">
        <v>0</v>
      </c>
      <c r="U258" s="91">
        <v>0</v>
      </c>
      <c r="V258" s="91">
        <v>0</v>
      </c>
      <c r="W258" s="91">
        <v>0</v>
      </c>
      <c r="X258" s="91">
        <v>0</v>
      </c>
      <c r="Y258" s="91">
        <v>0</v>
      </c>
      <c r="Z258" s="91">
        <v>0</v>
      </c>
      <c r="AA258" s="91">
        <v>0</v>
      </c>
      <c r="AB258" s="91">
        <v>0</v>
      </c>
      <c r="AC258" s="163">
        <v>0</v>
      </c>
      <c r="AD258" s="148">
        <f t="shared" si="188"/>
        <v>3400</v>
      </c>
    </row>
    <row r="259" spans="1:30" ht="22.5">
      <c r="A259" s="55">
        <v>83</v>
      </c>
      <c r="B259" s="56" t="s">
        <v>333</v>
      </c>
      <c r="C259" s="57" t="s">
        <v>160</v>
      </c>
      <c r="D259" s="58" t="s">
        <v>101</v>
      </c>
      <c r="E259" s="101">
        <f>F260</f>
        <v>1301.5999999999999</v>
      </c>
      <c r="F259" s="69">
        <f>F260</f>
        <v>1301.5999999999999</v>
      </c>
      <c r="G259" s="59"/>
      <c r="H259" s="59"/>
      <c r="I259" s="28">
        <f t="shared" si="185"/>
        <v>1301.5999999999999</v>
      </c>
      <c r="J259" s="60"/>
      <c r="K259" s="60"/>
      <c r="L259" s="61"/>
      <c r="M259" s="52">
        <f>M260</f>
        <v>577.79999999999995</v>
      </c>
      <c r="N259" s="96">
        <f>N260</f>
        <v>723.8</v>
      </c>
      <c r="O259" s="88">
        <f>O260</f>
        <v>0</v>
      </c>
      <c r="P259" s="88">
        <f t="shared" si="186"/>
        <v>0</v>
      </c>
      <c r="Q259" s="88">
        <f t="shared" si="186"/>
        <v>0</v>
      </c>
      <c r="R259" s="118">
        <v>0</v>
      </c>
      <c r="S259" s="85">
        <f>S260</f>
        <v>0</v>
      </c>
      <c r="T259" s="85">
        <f t="shared" si="187"/>
        <v>0</v>
      </c>
      <c r="U259" s="85">
        <f t="shared" si="187"/>
        <v>0</v>
      </c>
      <c r="V259" s="85">
        <f t="shared" si="187"/>
        <v>0</v>
      </c>
      <c r="W259" s="85">
        <f t="shared" si="187"/>
        <v>0</v>
      </c>
      <c r="X259" s="85">
        <f t="shared" si="187"/>
        <v>0</v>
      </c>
      <c r="Y259" s="85">
        <f t="shared" si="187"/>
        <v>0</v>
      </c>
      <c r="Z259" s="85">
        <f t="shared" si="187"/>
        <v>0</v>
      </c>
      <c r="AA259" s="85">
        <f t="shared" si="187"/>
        <v>0</v>
      </c>
      <c r="AB259" s="85">
        <f t="shared" si="187"/>
        <v>0</v>
      </c>
      <c r="AC259" s="150">
        <f t="shared" si="187"/>
        <v>0</v>
      </c>
      <c r="AD259" s="146">
        <f t="shared" si="172"/>
        <v>0</v>
      </c>
    </row>
    <row r="260" spans="1:30">
      <c r="A260" s="29"/>
      <c r="B260" s="10" t="s">
        <v>31</v>
      </c>
      <c r="C260" s="33"/>
      <c r="D260" s="33"/>
      <c r="E260" s="33"/>
      <c r="F260" s="33">
        <f>H260+I260+AD260</f>
        <v>1301.5999999999999</v>
      </c>
      <c r="G260" s="33"/>
      <c r="H260" s="33"/>
      <c r="I260" s="33">
        <f t="shared" si="185"/>
        <v>1301.5999999999999</v>
      </c>
      <c r="J260" s="11"/>
      <c r="K260" s="11"/>
      <c r="L260" s="42"/>
      <c r="M260" s="12">
        <v>577.79999999999995</v>
      </c>
      <c r="N260" s="87">
        <v>723.8</v>
      </c>
      <c r="O260" s="90">
        <v>0</v>
      </c>
      <c r="P260" s="91">
        <v>0</v>
      </c>
      <c r="Q260" s="91">
        <v>0</v>
      </c>
      <c r="R260" s="119">
        <f t="shared" si="182"/>
        <v>0</v>
      </c>
      <c r="S260" s="91">
        <v>0</v>
      </c>
      <c r="T260" s="91">
        <v>0</v>
      </c>
      <c r="U260" s="91">
        <v>0</v>
      </c>
      <c r="V260" s="91">
        <v>0</v>
      </c>
      <c r="W260" s="91">
        <v>0</v>
      </c>
      <c r="X260" s="91">
        <v>0</v>
      </c>
      <c r="Y260" s="91">
        <v>0</v>
      </c>
      <c r="Z260" s="91">
        <v>0</v>
      </c>
      <c r="AA260" s="91">
        <v>0</v>
      </c>
      <c r="AB260" s="91">
        <v>0</v>
      </c>
      <c r="AC260" s="163">
        <v>0</v>
      </c>
      <c r="AD260" s="148">
        <v>0</v>
      </c>
    </row>
    <row r="261" spans="1:30">
      <c r="A261" s="55">
        <v>84</v>
      </c>
      <c r="B261" s="56" t="s">
        <v>111</v>
      </c>
      <c r="C261" s="57" t="s">
        <v>359</v>
      </c>
      <c r="D261" s="62">
        <v>2018</v>
      </c>
      <c r="E261" s="101">
        <f>F262</f>
        <v>364</v>
      </c>
      <c r="F261" s="69">
        <f>F262</f>
        <v>364</v>
      </c>
      <c r="G261" s="59"/>
      <c r="H261" s="59"/>
      <c r="I261" s="28">
        <f t="shared" si="162"/>
        <v>364</v>
      </c>
      <c r="J261" s="60"/>
      <c r="K261" s="60"/>
      <c r="L261" s="61"/>
      <c r="M261" s="52">
        <f>M262</f>
        <v>0</v>
      </c>
      <c r="N261" s="96">
        <f>N262</f>
        <v>364</v>
      </c>
      <c r="O261" s="129">
        <f>O262</f>
        <v>0</v>
      </c>
      <c r="P261" s="129">
        <f>P262</f>
        <v>0</v>
      </c>
      <c r="Q261" s="129">
        <f>Q262</f>
        <v>0</v>
      </c>
      <c r="R261" s="118">
        <v>0</v>
      </c>
      <c r="S261" s="129">
        <f>S262</f>
        <v>0</v>
      </c>
      <c r="T261" s="129">
        <f t="shared" ref="T261:AC261" si="189">T262</f>
        <v>0</v>
      </c>
      <c r="U261" s="129">
        <f t="shared" si="189"/>
        <v>0</v>
      </c>
      <c r="V261" s="114">
        <f t="shared" si="189"/>
        <v>0</v>
      </c>
      <c r="W261" s="114">
        <f t="shared" si="189"/>
        <v>0</v>
      </c>
      <c r="X261" s="114">
        <f t="shared" si="189"/>
        <v>0</v>
      </c>
      <c r="Y261" s="114">
        <f t="shared" si="189"/>
        <v>0</v>
      </c>
      <c r="Z261" s="114">
        <f t="shared" si="189"/>
        <v>0</v>
      </c>
      <c r="AA261" s="114">
        <f t="shared" si="189"/>
        <v>0</v>
      </c>
      <c r="AB261" s="114">
        <f t="shared" si="189"/>
        <v>0</v>
      </c>
      <c r="AC261" s="168">
        <f t="shared" si="189"/>
        <v>0</v>
      </c>
      <c r="AD261" s="146">
        <f t="shared" si="172"/>
        <v>0</v>
      </c>
    </row>
    <row r="262" spans="1:30">
      <c r="A262" s="29"/>
      <c r="B262" s="10" t="s">
        <v>31</v>
      </c>
      <c r="C262" s="33"/>
      <c r="D262" s="33"/>
      <c r="E262" s="33"/>
      <c r="F262" s="33">
        <f>H262+I262+AD262</f>
        <v>364</v>
      </c>
      <c r="G262" s="33"/>
      <c r="H262" s="33"/>
      <c r="I262" s="33">
        <f t="shared" si="162"/>
        <v>364</v>
      </c>
      <c r="J262" s="11"/>
      <c r="K262" s="11"/>
      <c r="L262" s="42"/>
      <c r="M262" s="12">
        <v>0</v>
      </c>
      <c r="N262" s="90">
        <v>364</v>
      </c>
      <c r="O262" s="90">
        <v>0</v>
      </c>
      <c r="P262" s="91">
        <v>0</v>
      </c>
      <c r="Q262" s="91">
        <v>0</v>
      </c>
      <c r="R262" s="119">
        <f t="shared" si="182"/>
        <v>0</v>
      </c>
      <c r="S262" s="91">
        <v>0</v>
      </c>
      <c r="T262" s="91"/>
      <c r="U262" s="91"/>
      <c r="V262" s="91"/>
      <c r="W262" s="91"/>
      <c r="X262" s="91"/>
      <c r="Y262" s="91"/>
      <c r="Z262" s="91"/>
      <c r="AA262" s="91"/>
      <c r="AB262" s="91"/>
      <c r="AC262" s="163"/>
      <c r="AD262" s="152"/>
    </row>
    <row r="263" spans="1:30" ht="22.5">
      <c r="A263" s="51">
        <v>85</v>
      </c>
      <c r="B263" s="37" t="s">
        <v>169</v>
      </c>
      <c r="C263" s="24" t="s">
        <v>160</v>
      </c>
      <c r="D263" s="47">
        <v>2017</v>
      </c>
      <c r="E263" s="26">
        <f>F264</f>
        <v>1097.8</v>
      </c>
      <c r="F263" s="27">
        <f>F264</f>
        <v>1097.8</v>
      </c>
      <c r="G263" s="28">
        <f>G264</f>
        <v>0</v>
      </c>
      <c r="H263" s="28">
        <f>H264</f>
        <v>0</v>
      </c>
      <c r="I263" s="28">
        <f t="shared" si="162"/>
        <v>1097.8</v>
      </c>
      <c r="J263" s="27">
        <f>J264</f>
        <v>0</v>
      </c>
      <c r="K263" s="27">
        <f t="shared" ref="K263:Q263" si="190">K264</f>
        <v>0</v>
      </c>
      <c r="L263" s="27">
        <f t="shared" si="190"/>
        <v>0</v>
      </c>
      <c r="M263" s="27">
        <f t="shared" si="190"/>
        <v>1097.8</v>
      </c>
      <c r="N263" s="85">
        <f t="shared" si="190"/>
        <v>0</v>
      </c>
      <c r="O263" s="85">
        <f t="shared" si="190"/>
        <v>0</v>
      </c>
      <c r="P263" s="85">
        <f t="shared" si="190"/>
        <v>0</v>
      </c>
      <c r="Q263" s="85">
        <f t="shared" si="190"/>
        <v>0</v>
      </c>
      <c r="R263" s="118">
        <f t="shared" si="182"/>
        <v>0</v>
      </c>
      <c r="S263" s="85">
        <f>S264</f>
        <v>0</v>
      </c>
      <c r="T263" s="85">
        <f t="shared" ref="T263:AC263" si="191">T264</f>
        <v>0</v>
      </c>
      <c r="U263" s="85">
        <f t="shared" si="191"/>
        <v>0</v>
      </c>
      <c r="V263" s="85">
        <f t="shared" si="191"/>
        <v>0</v>
      </c>
      <c r="W263" s="85">
        <f t="shared" si="191"/>
        <v>0</v>
      </c>
      <c r="X263" s="85">
        <f t="shared" si="191"/>
        <v>0</v>
      </c>
      <c r="Y263" s="85">
        <f t="shared" si="191"/>
        <v>0</v>
      </c>
      <c r="Z263" s="85">
        <f t="shared" si="191"/>
        <v>0</v>
      </c>
      <c r="AA263" s="85">
        <f t="shared" si="191"/>
        <v>0</v>
      </c>
      <c r="AB263" s="85">
        <f t="shared" si="191"/>
        <v>0</v>
      </c>
      <c r="AC263" s="150">
        <f t="shared" si="191"/>
        <v>0</v>
      </c>
      <c r="AD263" s="146">
        <f t="shared" si="172"/>
        <v>0</v>
      </c>
    </row>
    <row r="264" spans="1:30">
      <c r="A264" s="40"/>
      <c r="B264" s="10" t="s">
        <v>31</v>
      </c>
      <c r="C264" s="30"/>
      <c r="D264" s="31"/>
      <c r="E264" s="32"/>
      <c r="F264" s="33">
        <f>H264+I264+AD264</f>
        <v>1097.8</v>
      </c>
      <c r="G264" s="34">
        <v>0</v>
      </c>
      <c r="H264" s="33">
        <v>0</v>
      </c>
      <c r="I264" s="33">
        <f t="shared" si="162"/>
        <v>1097.8</v>
      </c>
      <c r="J264" s="33">
        <v>0</v>
      </c>
      <c r="K264" s="33">
        <v>0</v>
      </c>
      <c r="L264" s="33">
        <v>0</v>
      </c>
      <c r="M264" s="35">
        <v>1097.8</v>
      </c>
      <c r="N264" s="87">
        <v>0</v>
      </c>
      <c r="O264" s="87">
        <v>0</v>
      </c>
      <c r="P264" s="87">
        <v>0</v>
      </c>
      <c r="Q264" s="87">
        <v>0</v>
      </c>
      <c r="R264" s="119">
        <f t="shared" si="182"/>
        <v>0</v>
      </c>
      <c r="S264" s="87">
        <v>0</v>
      </c>
      <c r="T264" s="87">
        <v>0</v>
      </c>
      <c r="U264" s="87">
        <v>0</v>
      </c>
      <c r="V264" s="87">
        <v>0</v>
      </c>
      <c r="W264" s="87">
        <v>0</v>
      </c>
      <c r="X264" s="87">
        <v>0</v>
      </c>
      <c r="Y264" s="87">
        <v>0</v>
      </c>
      <c r="Z264" s="87">
        <v>0</v>
      </c>
      <c r="AA264" s="87">
        <v>0</v>
      </c>
      <c r="AB264" s="87">
        <v>0</v>
      </c>
      <c r="AC264" s="161">
        <v>0</v>
      </c>
      <c r="AD264" s="148">
        <f t="shared" si="172"/>
        <v>0</v>
      </c>
    </row>
    <row r="265" spans="1:30" ht="13.9" customHeight="1">
      <c r="A265" s="50" t="s">
        <v>170</v>
      </c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97"/>
      <c r="O265" s="97"/>
      <c r="P265" s="97"/>
      <c r="Q265" s="97"/>
      <c r="R265" s="121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169"/>
      <c r="AD265" s="151">
        <f t="shared" si="172"/>
        <v>0</v>
      </c>
    </row>
    <row r="266" spans="1:30" ht="22.5">
      <c r="A266" s="20">
        <v>86</v>
      </c>
      <c r="B266" s="23" t="s">
        <v>171</v>
      </c>
      <c r="C266" s="24" t="s">
        <v>172</v>
      </c>
      <c r="D266" s="43" t="s">
        <v>125</v>
      </c>
      <c r="E266" s="26">
        <f>F267</f>
        <v>1873.6089999999999</v>
      </c>
      <c r="F266" s="27">
        <f>F267</f>
        <v>1873.6089999999999</v>
      </c>
      <c r="G266" s="28">
        <f>G267</f>
        <v>81.244</v>
      </c>
      <c r="H266" s="28">
        <f>H267</f>
        <v>81.244</v>
      </c>
      <c r="I266" s="28">
        <f t="shared" ref="I266:I272" si="192">SUM(K266:O266)</f>
        <v>1792.365</v>
      </c>
      <c r="J266" s="27">
        <f>J267</f>
        <v>0</v>
      </c>
      <c r="K266" s="27">
        <f t="shared" ref="K266:Q266" si="193">K267</f>
        <v>1792.365</v>
      </c>
      <c r="L266" s="27">
        <f t="shared" si="193"/>
        <v>0</v>
      </c>
      <c r="M266" s="27">
        <f t="shared" si="193"/>
        <v>0</v>
      </c>
      <c r="N266" s="85">
        <f t="shared" si="193"/>
        <v>0</v>
      </c>
      <c r="O266" s="85">
        <f t="shared" si="193"/>
        <v>0</v>
      </c>
      <c r="P266" s="85">
        <f t="shared" si="193"/>
        <v>0</v>
      </c>
      <c r="Q266" s="85">
        <f t="shared" si="193"/>
        <v>0</v>
      </c>
      <c r="R266" s="118">
        <f t="shared" ref="R266:R272" si="194">SUM(S266:AC266)</f>
        <v>0</v>
      </c>
      <c r="S266" s="85">
        <f>S267</f>
        <v>0</v>
      </c>
      <c r="T266" s="85">
        <f t="shared" ref="T266:AC266" si="195">T267</f>
        <v>0</v>
      </c>
      <c r="U266" s="85">
        <f t="shared" si="195"/>
        <v>0</v>
      </c>
      <c r="V266" s="85">
        <f t="shared" si="195"/>
        <v>0</v>
      </c>
      <c r="W266" s="85">
        <f t="shared" si="195"/>
        <v>0</v>
      </c>
      <c r="X266" s="85">
        <f t="shared" si="195"/>
        <v>0</v>
      </c>
      <c r="Y266" s="85">
        <f t="shared" si="195"/>
        <v>0</v>
      </c>
      <c r="Z266" s="85">
        <f t="shared" si="195"/>
        <v>0</v>
      </c>
      <c r="AA266" s="85">
        <f t="shared" si="195"/>
        <v>0</v>
      </c>
      <c r="AB266" s="85">
        <f t="shared" si="195"/>
        <v>0</v>
      </c>
      <c r="AC266" s="150">
        <f t="shared" si="195"/>
        <v>0</v>
      </c>
      <c r="AD266" s="146">
        <f t="shared" si="172"/>
        <v>0</v>
      </c>
    </row>
    <row r="267" spans="1:30">
      <c r="A267" s="40"/>
      <c r="B267" s="10" t="s">
        <v>31</v>
      </c>
      <c r="C267" s="30"/>
      <c r="D267" s="31"/>
      <c r="E267" s="32"/>
      <c r="F267" s="33">
        <f>H267+I267+AD267</f>
        <v>1873.6089999999999</v>
      </c>
      <c r="G267" s="34">
        <v>81.244</v>
      </c>
      <c r="H267" s="33">
        <v>81.244</v>
      </c>
      <c r="I267" s="33">
        <f t="shared" si="192"/>
        <v>1792.365</v>
      </c>
      <c r="J267" s="33">
        <v>0</v>
      </c>
      <c r="K267" s="33">
        <v>1792.365</v>
      </c>
      <c r="L267" s="33">
        <v>0</v>
      </c>
      <c r="M267" s="33">
        <v>0</v>
      </c>
      <c r="N267" s="87">
        <v>0</v>
      </c>
      <c r="O267" s="87">
        <v>0</v>
      </c>
      <c r="P267" s="87">
        <v>0</v>
      </c>
      <c r="Q267" s="87">
        <v>0</v>
      </c>
      <c r="R267" s="119">
        <f t="shared" si="194"/>
        <v>0</v>
      </c>
      <c r="S267" s="87">
        <v>0</v>
      </c>
      <c r="T267" s="87">
        <v>0</v>
      </c>
      <c r="U267" s="87">
        <v>0</v>
      </c>
      <c r="V267" s="87">
        <v>0</v>
      </c>
      <c r="W267" s="87">
        <v>0</v>
      </c>
      <c r="X267" s="87">
        <v>0</v>
      </c>
      <c r="Y267" s="87">
        <v>0</v>
      </c>
      <c r="Z267" s="87">
        <v>0</v>
      </c>
      <c r="AA267" s="87">
        <v>0</v>
      </c>
      <c r="AB267" s="87">
        <v>0</v>
      </c>
      <c r="AC267" s="161">
        <v>0</v>
      </c>
      <c r="AD267" s="148">
        <f t="shared" si="172"/>
        <v>0</v>
      </c>
    </row>
    <row r="268" spans="1:30" ht="22.5">
      <c r="A268" s="20">
        <v>87</v>
      </c>
      <c r="B268" s="23" t="s">
        <v>173</v>
      </c>
      <c r="C268" s="24" t="s">
        <v>160</v>
      </c>
      <c r="D268" s="47" t="s">
        <v>174</v>
      </c>
      <c r="E268" s="26">
        <f>F269</f>
        <v>18284.605</v>
      </c>
      <c r="F268" s="27">
        <f>F269+F270</f>
        <v>21684.605</v>
      </c>
      <c r="G268" s="27">
        <f>G269+G270</f>
        <v>20812.994999999999</v>
      </c>
      <c r="H268" s="27">
        <f>H269+H270</f>
        <v>20812.994999999999</v>
      </c>
      <c r="I268" s="28">
        <f t="shared" si="192"/>
        <v>871.61</v>
      </c>
      <c r="J268" s="27">
        <f t="shared" ref="J268:Q268" si="196">J269+J270</f>
        <v>0</v>
      </c>
      <c r="K268" s="27">
        <f t="shared" si="196"/>
        <v>0</v>
      </c>
      <c r="L268" s="27">
        <f t="shared" si="196"/>
        <v>871.61</v>
      </c>
      <c r="M268" s="27">
        <f t="shared" si="196"/>
        <v>0</v>
      </c>
      <c r="N268" s="85">
        <f t="shared" si="196"/>
        <v>0</v>
      </c>
      <c r="O268" s="85">
        <f t="shared" si="196"/>
        <v>0</v>
      </c>
      <c r="P268" s="85">
        <f t="shared" si="196"/>
        <v>0</v>
      </c>
      <c r="Q268" s="85">
        <f t="shared" si="196"/>
        <v>0</v>
      </c>
      <c r="R268" s="118">
        <f t="shared" si="194"/>
        <v>0</v>
      </c>
      <c r="S268" s="85">
        <f>S269+S270</f>
        <v>0</v>
      </c>
      <c r="T268" s="85">
        <f t="shared" ref="T268:AC268" si="197">T269+T270</f>
        <v>0</v>
      </c>
      <c r="U268" s="85">
        <f t="shared" si="197"/>
        <v>0</v>
      </c>
      <c r="V268" s="85">
        <f t="shared" si="197"/>
        <v>0</v>
      </c>
      <c r="W268" s="85">
        <f t="shared" si="197"/>
        <v>0</v>
      </c>
      <c r="X268" s="85">
        <f t="shared" si="197"/>
        <v>0</v>
      </c>
      <c r="Y268" s="85">
        <f t="shared" si="197"/>
        <v>0</v>
      </c>
      <c r="Z268" s="85">
        <f t="shared" si="197"/>
        <v>0</v>
      </c>
      <c r="AA268" s="85">
        <f t="shared" si="197"/>
        <v>0</v>
      </c>
      <c r="AB268" s="85">
        <f t="shared" si="197"/>
        <v>0</v>
      </c>
      <c r="AC268" s="150">
        <f t="shared" si="197"/>
        <v>0</v>
      </c>
      <c r="AD268" s="146">
        <f t="shared" si="172"/>
        <v>0</v>
      </c>
    </row>
    <row r="269" spans="1:30">
      <c r="A269" s="29"/>
      <c r="B269" s="10" t="s">
        <v>31</v>
      </c>
      <c r="C269" s="33"/>
      <c r="D269" s="33"/>
      <c r="E269" s="33"/>
      <c r="F269" s="33">
        <f>H269+I269+AD269</f>
        <v>18284.605</v>
      </c>
      <c r="G269" s="33">
        <v>17412.994999999999</v>
      </c>
      <c r="H269" s="33">
        <v>17412.994999999999</v>
      </c>
      <c r="I269" s="33">
        <f t="shared" si="192"/>
        <v>871.61</v>
      </c>
      <c r="J269" s="11">
        <v>0</v>
      </c>
      <c r="K269" s="11">
        <v>0</v>
      </c>
      <c r="L269" s="42">
        <v>871.61</v>
      </c>
      <c r="M269" s="42">
        <v>0</v>
      </c>
      <c r="N269" s="90">
        <v>0</v>
      </c>
      <c r="O269" s="90">
        <v>0</v>
      </c>
      <c r="P269" s="91">
        <v>0</v>
      </c>
      <c r="Q269" s="91">
        <v>0</v>
      </c>
      <c r="R269" s="119">
        <f t="shared" si="194"/>
        <v>0</v>
      </c>
      <c r="S269" s="91">
        <v>0</v>
      </c>
      <c r="T269" s="91">
        <v>0</v>
      </c>
      <c r="U269" s="91">
        <v>0</v>
      </c>
      <c r="V269" s="91">
        <v>0</v>
      </c>
      <c r="W269" s="91">
        <v>0</v>
      </c>
      <c r="X269" s="91">
        <v>0</v>
      </c>
      <c r="Y269" s="91">
        <v>0</v>
      </c>
      <c r="Z269" s="91">
        <v>0</v>
      </c>
      <c r="AA269" s="91">
        <v>0</v>
      </c>
      <c r="AB269" s="91">
        <v>0</v>
      </c>
      <c r="AC269" s="163">
        <v>0</v>
      </c>
      <c r="AD269" s="148">
        <f t="shared" si="172"/>
        <v>0</v>
      </c>
    </row>
    <row r="270" spans="1:30">
      <c r="A270" s="29"/>
      <c r="B270" s="38" t="s">
        <v>41</v>
      </c>
      <c r="C270" s="33"/>
      <c r="D270" s="33"/>
      <c r="E270" s="33"/>
      <c r="F270" s="33">
        <f>H270+I270+AD270</f>
        <v>3400</v>
      </c>
      <c r="G270" s="33">
        <v>3400</v>
      </c>
      <c r="H270" s="33">
        <v>3400</v>
      </c>
      <c r="I270" s="33">
        <f t="shared" si="192"/>
        <v>0</v>
      </c>
      <c r="J270" s="11">
        <v>0</v>
      </c>
      <c r="K270" s="11">
        <v>0</v>
      </c>
      <c r="L270" s="42">
        <v>0</v>
      </c>
      <c r="M270" s="42">
        <v>0</v>
      </c>
      <c r="N270" s="90">
        <v>0</v>
      </c>
      <c r="O270" s="90">
        <v>0</v>
      </c>
      <c r="P270" s="91">
        <v>0</v>
      </c>
      <c r="Q270" s="91">
        <v>0</v>
      </c>
      <c r="R270" s="119">
        <f t="shared" si="194"/>
        <v>0</v>
      </c>
      <c r="S270" s="91">
        <v>0</v>
      </c>
      <c r="T270" s="91">
        <v>0</v>
      </c>
      <c r="U270" s="91">
        <v>0</v>
      </c>
      <c r="V270" s="91">
        <v>0</v>
      </c>
      <c r="W270" s="91">
        <v>0</v>
      </c>
      <c r="X270" s="91">
        <v>0</v>
      </c>
      <c r="Y270" s="91">
        <v>0</v>
      </c>
      <c r="Z270" s="91">
        <v>0</v>
      </c>
      <c r="AA270" s="91">
        <v>0</v>
      </c>
      <c r="AB270" s="91">
        <v>0</v>
      </c>
      <c r="AC270" s="163">
        <v>0</v>
      </c>
      <c r="AD270" s="148">
        <f t="shared" si="172"/>
        <v>0</v>
      </c>
    </row>
    <row r="271" spans="1:30" ht="22.5">
      <c r="A271" s="20">
        <v>88</v>
      </c>
      <c r="B271" s="23" t="s">
        <v>175</v>
      </c>
      <c r="C271" s="24" t="s">
        <v>172</v>
      </c>
      <c r="D271" s="25" t="s">
        <v>383</v>
      </c>
      <c r="E271" s="26">
        <f>F272</f>
        <v>9197.2279999999992</v>
      </c>
      <c r="F271" s="27">
        <f>F272</f>
        <v>9197.2279999999992</v>
      </c>
      <c r="G271" s="28">
        <f>G272</f>
        <v>70</v>
      </c>
      <c r="H271" s="28">
        <f>H272</f>
        <v>1000</v>
      </c>
      <c r="I271" s="28">
        <f t="shared" si="192"/>
        <v>5497.2280000000001</v>
      </c>
      <c r="J271" s="27">
        <f>J272</f>
        <v>930</v>
      </c>
      <c r="K271" s="27">
        <f t="shared" ref="K271:Q271" si="198">K272</f>
        <v>1000</v>
      </c>
      <c r="L271" s="27">
        <f t="shared" si="198"/>
        <v>360</v>
      </c>
      <c r="M271" s="27">
        <f t="shared" si="198"/>
        <v>1160</v>
      </c>
      <c r="N271" s="85">
        <f t="shared" si="198"/>
        <v>1061.5999999999999</v>
      </c>
      <c r="O271" s="85">
        <f t="shared" si="198"/>
        <v>1915.6279999999999</v>
      </c>
      <c r="P271" s="85">
        <f t="shared" si="198"/>
        <v>700</v>
      </c>
      <c r="Q271" s="85">
        <f t="shared" si="198"/>
        <v>500</v>
      </c>
      <c r="R271" s="118">
        <f t="shared" si="194"/>
        <v>1500</v>
      </c>
      <c r="S271" s="85">
        <f>S272</f>
        <v>500</v>
      </c>
      <c r="T271" s="85">
        <f t="shared" ref="T271:AC271" si="199">T272</f>
        <v>1000</v>
      </c>
      <c r="U271" s="85">
        <f t="shared" si="199"/>
        <v>0</v>
      </c>
      <c r="V271" s="85">
        <f t="shared" si="199"/>
        <v>0</v>
      </c>
      <c r="W271" s="85">
        <f t="shared" si="199"/>
        <v>0</v>
      </c>
      <c r="X271" s="85">
        <f t="shared" si="199"/>
        <v>0</v>
      </c>
      <c r="Y271" s="85">
        <f t="shared" si="199"/>
        <v>0</v>
      </c>
      <c r="Z271" s="85">
        <f t="shared" si="199"/>
        <v>0</v>
      </c>
      <c r="AA271" s="85">
        <f t="shared" si="199"/>
        <v>0</v>
      </c>
      <c r="AB271" s="85">
        <f t="shared" si="199"/>
        <v>0</v>
      </c>
      <c r="AC271" s="150">
        <f t="shared" si="199"/>
        <v>0</v>
      </c>
      <c r="AD271" s="146">
        <f t="shared" si="172"/>
        <v>2700</v>
      </c>
    </row>
    <row r="272" spans="1:30">
      <c r="A272" s="40"/>
      <c r="B272" s="10" t="s">
        <v>31</v>
      </c>
      <c r="C272" s="30"/>
      <c r="D272" s="31"/>
      <c r="E272" s="32"/>
      <c r="F272" s="33">
        <f>H272+I272+AD272</f>
        <v>9197.2279999999992</v>
      </c>
      <c r="G272" s="34">
        <v>70</v>
      </c>
      <c r="H272" s="33">
        <v>1000</v>
      </c>
      <c r="I272" s="33">
        <f t="shared" si="192"/>
        <v>5497.2280000000001</v>
      </c>
      <c r="J272" s="33">
        <v>930</v>
      </c>
      <c r="K272" s="33">
        <v>1000</v>
      </c>
      <c r="L272" s="33">
        <v>360</v>
      </c>
      <c r="M272" s="33">
        <v>1160</v>
      </c>
      <c r="N272" s="86">
        <v>1061.5999999999999</v>
      </c>
      <c r="O272" s="89">
        <v>1915.6279999999999</v>
      </c>
      <c r="P272" s="87">
        <v>700</v>
      </c>
      <c r="Q272" s="87">
        <v>500</v>
      </c>
      <c r="R272" s="119">
        <f t="shared" si="194"/>
        <v>1500</v>
      </c>
      <c r="S272" s="87">
        <v>500</v>
      </c>
      <c r="T272" s="87">
        <v>1000</v>
      </c>
      <c r="U272" s="87">
        <v>0</v>
      </c>
      <c r="V272" s="87">
        <v>0</v>
      </c>
      <c r="W272" s="87">
        <v>0</v>
      </c>
      <c r="X272" s="87">
        <v>0</v>
      </c>
      <c r="Y272" s="87">
        <v>0</v>
      </c>
      <c r="Z272" s="87">
        <v>0</v>
      </c>
      <c r="AA272" s="87">
        <v>0</v>
      </c>
      <c r="AB272" s="87">
        <v>0</v>
      </c>
      <c r="AC272" s="161">
        <v>0</v>
      </c>
      <c r="AD272" s="148">
        <f t="shared" si="172"/>
        <v>2700</v>
      </c>
    </row>
    <row r="273" spans="1:30">
      <c r="A273" s="64" t="s">
        <v>176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95"/>
      <c r="O273" s="95"/>
      <c r="P273" s="95"/>
      <c r="Q273" s="95"/>
      <c r="R273" s="120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166"/>
      <c r="AD273" s="151">
        <f t="shared" si="172"/>
        <v>0</v>
      </c>
    </row>
    <row r="274" spans="1:30" ht="22.5">
      <c r="A274" s="20">
        <v>89</v>
      </c>
      <c r="B274" s="37" t="s">
        <v>368</v>
      </c>
      <c r="C274" s="24" t="s">
        <v>177</v>
      </c>
      <c r="D274" s="25" t="s">
        <v>438</v>
      </c>
      <c r="E274" s="26">
        <f>F275</f>
        <v>606685.98099999991</v>
      </c>
      <c r="F274" s="27">
        <f>F275</f>
        <v>606685.98099999991</v>
      </c>
      <c r="G274" s="28">
        <f>G275</f>
        <v>86833.94</v>
      </c>
      <c r="H274" s="28">
        <f>H275</f>
        <v>112422.387</v>
      </c>
      <c r="I274" s="28">
        <f t="shared" ref="I274:I305" si="200">SUM(K274:O274)</f>
        <v>214660.59399999998</v>
      </c>
      <c r="J274" s="27">
        <f>J275</f>
        <v>25588.447</v>
      </c>
      <c r="K274" s="27">
        <f t="shared" ref="K274:Q274" si="201">K275</f>
        <v>47445</v>
      </c>
      <c r="L274" s="27">
        <f t="shared" si="201"/>
        <v>58112.15</v>
      </c>
      <c r="M274" s="27">
        <f t="shared" si="201"/>
        <v>53094.14</v>
      </c>
      <c r="N274" s="85">
        <f t="shared" si="201"/>
        <v>40311.303999999996</v>
      </c>
      <c r="O274" s="85">
        <f t="shared" si="201"/>
        <v>15698</v>
      </c>
      <c r="P274" s="88">
        <f t="shared" si="201"/>
        <v>32247</v>
      </c>
      <c r="Q274" s="85">
        <f t="shared" si="201"/>
        <v>50656</v>
      </c>
      <c r="R274" s="118">
        <f t="shared" ref="R274:R296" si="202">SUM(S274:AC274)</f>
        <v>196700</v>
      </c>
      <c r="S274" s="85">
        <f>S275</f>
        <v>67200</v>
      </c>
      <c r="T274" s="85">
        <f t="shared" ref="T274:AC274" si="203">T275</f>
        <v>61700</v>
      </c>
      <c r="U274" s="85">
        <f t="shared" si="203"/>
        <v>0</v>
      </c>
      <c r="V274" s="85">
        <f t="shared" si="203"/>
        <v>67800</v>
      </c>
      <c r="W274" s="85">
        <f t="shared" si="203"/>
        <v>0</v>
      </c>
      <c r="X274" s="85">
        <f t="shared" si="203"/>
        <v>0</v>
      </c>
      <c r="Y274" s="85">
        <f t="shared" si="203"/>
        <v>0</v>
      </c>
      <c r="Z274" s="85">
        <f t="shared" si="203"/>
        <v>0</v>
      </c>
      <c r="AA274" s="85">
        <f t="shared" si="203"/>
        <v>0</v>
      </c>
      <c r="AB274" s="85">
        <f t="shared" si="203"/>
        <v>0</v>
      </c>
      <c r="AC274" s="150">
        <f t="shared" si="203"/>
        <v>0</v>
      </c>
      <c r="AD274" s="146">
        <f t="shared" si="172"/>
        <v>279603</v>
      </c>
    </row>
    <row r="275" spans="1:30">
      <c r="A275" s="40"/>
      <c r="B275" s="10" t="s">
        <v>31</v>
      </c>
      <c r="C275" s="30"/>
      <c r="D275" s="31"/>
      <c r="E275" s="32"/>
      <c r="F275" s="33">
        <f>H275+I275+AD275</f>
        <v>606685.98099999991</v>
      </c>
      <c r="G275" s="34">
        <v>86833.94</v>
      </c>
      <c r="H275" s="33">
        <v>112422.387</v>
      </c>
      <c r="I275" s="33">
        <f t="shared" si="200"/>
        <v>214660.59399999998</v>
      </c>
      <c r="J275" s="33">
        <v>25588.447</v>
      </c>
      <c r="K275" s="33">
        <v>47445</v>
      </c>
      <c r="L275" s="33">
        <v>58112.15</v>
      </c>
      <c r="M275" s="35">
        <f>53071.309+22.831</f>
        <v>53094.14</v>
      </c>
      <c r="N275" s="86">
        <v>40311.303999999996</v>
      </c>
      <c r="O275" s="86">
        <v>15698</v>
      </c>
      <c r="P275" s="86">
        <f>32047+200</f>
        <v>32247</v>
      </c>
      <c r="Q275" s="86">
        <v>50656</v>
      </c>
      <c r="R275" s="119">
        <f t="shared" si="202"/>
        <v>196700</v>
      </c>
      <c r="S275" s="86">
        <v>67200</v>
      </c>
      <c r="T275" s="86">
        <v>61700</v>
      </c>
      <c r="U275" s="87">
        <v>0</v>
      </c>
      <c r="V275" s="128">
        <v>67800</v>
      </c>
      <c r="W275" s="87">
        <v>0</v>
      </c>
      <c r="X275" s="87">
        <v>0</v>
      </c>
      <c r="Y275" s="87">
        <v>0</v>
      </c>
      <c r="Z275" s="87">
        <v>0</v>
      </c>
      <c r="AA275" s="87">
        <v>0</v>
      </c>
      <c r="AB275" s="87">
        <v>0</v>
      </c>
      <c r="AC275" s="161">
        <v>0</v>
      </c>
      <c r="AD275" s="148">
        <f t="shared" si="172"/>
        <v>279603</v>
      </c>
    </row>
    <row r="276" spans="1:30" ht="22.5">
      <c r="A276" s="20">
        <v>90</v>
      </c>
      <c r="B276" s="37" t="s">
        <v>369</v>
      </c>
      <c r="C276" s="24" t="s">
        <v>177</v>
      </c>
      <c r="D276" s="25" t="s">
        <v>178</v>
      </c>
      <c r="E276" s="26">
        <f>F277</f>
        <v>159059.55900000001</v>
      </c>
      <c r="F276" s="27">
        <f>F277+F278</f>
        <v>159062.807</v>
      </c>
      <c r="G276" s="27">
        <f>G277+G278</f>
        <v>70747.873999999996</v>
      </c>
      <c r="H276" s="27">
        <f>H277+H278</f>
        <v>80910.373999999996</v>
      </c>
      <c r="I276" s="28">
        <f t="shared" si="200"/>
        <v>56116.909000000007</v>
      </c>
      <c r="J276" s="27">
        <f t="shared" ref="J276:Q276" si="204">J277+J278</f>
        <v>10162.5</v>
      </c>
      <c r="K276" s="27">
        <f t="shared" si="204"/>
        <v>13352.692999999999</v>
      </c>
      <c r="L276" s="27">
        <f t="shared" si="204"/>
        <v>4442.5420000000004</v>
      </c>
      <c r="M276" s="27">
        <f t="shared" si="204"/>
        <v>7898.8109999999997</v>
      </c>
      <c r="N276" s="85">
        <f t="shared" si="204"/>
        <v>12807.963</v>
      </c>
      <c r="O276" s="85">
        <f t="shared" si="204"/>
        <v>17614.900000000001</v>
      </c>
      <c r="P276" s="88">
        <f t="shared" si="204"/>
        <v>10207.523999999999</v>
      </c>
      <c r="Q276" s="85">
        <f t="shared" si="204"/>
        <v>5600</v>
      </c>
      <c r="R276" s="118">
        <f t="shared" si="202"/>
        <v>6228</v>
      </c>
      <c r="S276" s="85">
        <f>S277+S278</f>
        <v>4228</v>
      </c>
      <c r="T276" s="85">
        <f t="shared" ref="T276:AC276" si="205">T277+T278</f>
        <v>2000</v>
      </c>
      <c r="U276" s="85">
        <f t="shared" si="205"/>
        <v>0</v>
      </c>
      <c r="V276" s="85">
        <f t="shared" si="205"/>
        <v>0</v>
      </c>
      <c r="W276" s="85">
        <f t="shared" si="205"/>
        <v>0</v>
      </c>
      <c r="X276" s="85">
        <f t="shared" si="205"/>
        <v>0</v>
      </c>
      <c r="Y276" s="85">
        <f t="shared" si="205"/>
        <v>0</v>
      </c>
      <c r="Z276" s="85">
        <f t="shared" si="205"/>
        <v>0</v>
      </c>
      <c r="AA276" s="85">
        <f t="shared" si="205"/>
        <v>0</v>
      </c>
      <c r="AB276" s="85">
        <f t="shared" si="205"/>
        <v>0</v>
      </c>
      <c r="AC276" s="150">
        <f t="shared" si="205"/>
        <v>0</v>
      </c>
      <c r="AD276" s="146">
        <f t="shared" si="172"/>
        <v>22035.523999999998</v>
      </c>
    </row>
    <row r="277" spans="1:30">
      <c r="A277" s="40"/>
      <c r="B277" s="10" t="s">
        <v>31</v>
      </c>
      <c r="C277" s="30"/>
      <c r="D277" s="31"/>
      <c r="E277" s="32"/>
      <c r="F277" s="33">
        <f>H277+I277+AD277</f>
        <v>159059.55900000001</v>
      </c>
      <c r="G277" s="34">
        <v>70747.873999999996</v>
      </c>
      <c r="H277" s="33">
        <v>80910.373999999996</v>
      </c>
      <c r="I277" s="33">
        <f t="shared" si="200"/>
        <v>56116.909000000007</v>
      </c>
      <c r="J277" s="33">
        <v>10162.5</v>
      </c>
      <c r="K277" s="39">
        <v>13352.692999999999</v>
      </c>
      <c r="L277" s="33">
        <v>4442.5420000000004</v>
      </c>
      <c r="M277" s="35">
        <f>8113.811-215</f>
        <v>7898.8109999999997</v>
      </c>
      <c r="N277" s="86">
        <v>12807.963</v>
      </c>
      <c r="O277" s="87">
        <v>17614.900000000001</v>
      </c>
      <c r="P277" s="87">
        <f>10202.523+1.753</f>
        <v>10204.276</v>
      </c>
      <c r="Q277" s="87">
        <v>5600</v>
      </c>
      <c r="R277" s="119">
        <f t="shared" si="202"/>
        <v>6228</v>
      </c>
      <c r="S277" s="87">
        <v>4228</v>
      </c>
      <c r="T277" s="87">
        <v>2000</v>
      </c>
      <c r="U277" s="87">
        <v>0</v>
      </c>
      <c r="V277" s="87">
        <v>0</v>
      </c>
      <c r="W277" s="87">
        <v>0</v>
      </c>
      <c r="X277" s="87">
        <v>0</v>
      </c>
      <c r="Y277" s="87">
        <v>0</v>
      </c>
      <c r="Z277" s="87">
        <v>0</v>
      </c>
      <c r="AA277" s="87">
        <v>0</v>
      </c>
      <c r="AB277" s="87">
        <v>0</v>
      </c>
      <c r="AC277" s="161">
        <v>0</v>
      </c>
      <c r="AD277" s="148">
        <f t="shared" si="172"/>
        <v>22032.275999999998</v>
      </c>
    </row>
    <row r="278" spans="1:30">
      <c r="A278" s="29"/>
      <c r="B278" s="38" t="s">
        <v>41</v>
      </c>
      <c r="C278" s="33"/>
      <c r="D278" s="33"/>
      <c r="E278" s="33"/>
      <c r="F278" s="33">
        <f>H278+I278+AD278</f>
        <v>3.2480000000000002</v>
      </c>
      <c r="G278" s="33">
        <v>0</v>
      </c>
      <c r="H278" s="33">
        <v>0</v>
      </c>
      <c r="I278" s="33">
        <f t="shared" si="200"/>
        <v>0</v>
      </c>
      <c r="J278" s="11">
        <v>0</v>
      </c>
      <c r="K278" s="11">
        <v>0</v>
      </c>
      <c r="L278" s="42">
        <v>0</v>
      </c>
      <c r="M278" s="42">
        <v>0</v>
      </c>
      <c r="N278" s="90">
        <v>0</v>
      </c>
      <c r="O278" s="90">
        <v>0</v>
      </c>
      <c r="P278" s="91">
        <v>3.2480000000000002</v>
      </c>
      <c r="Q278" s="91">
        <v>0</v>
      </c>
      <c r="R278" s="119">
        <f t="shared" si="202"/>
        <v>0</v>
      </c>
      <c r="S278" s="91">
        <v>0</v>
      </c>
      <c r="T278" s="91">
        <v>0</v>
      </c>
      <c r="U278" s="91">
        <v>0</v>
      </c>
      <c r="V278" s="91">
        <v>0</v>
      </c>
      <c r="W278" s="91">
        <v>0</v>
      </c>
      <c r="X278" s="91">
        <v>0</v>
      </c>
      <c r="Y278" s="91">
        <v>0</v>
      </c>
      <c r="Z278" s="91">
        <v>0</v>
      </c>
      <c r="AA278" s="91">
        <v>0</v>
      </c>
      <c r="AB278" s="91">
        <v>0</v>
      </c>
      <c r="AC278" s="163">
        <v>0</v>
      </c>
      <c r="AD278" s="148">
        <f t="shared" si="172"/>
        <v>3.2480000000000002</v>
      </c>
    </row>
    <row r="279" spans="1:30" ht="33.75">
      <c r="A279" s="20">
        <v>91</v>
      </c>
      <c r="B279" s="23" t="s">
        <v>179</v>
      </c>
      <c r="C279" s="24" t="s">
        <v>180</v>
      </c>
      <c r="D279" s="47" t="s">
        <v>136</v>
      </c>
      <c r="E279" s="26">
        <f>F280</f>
        <v>5463.6019999999999</v>
      </c>
      <c r="F279" s="27">
        <f>F280+F281</f>
        <v>7688.88</v>
      </c>
      <c r="G279" s="27">
        <f>G280+G281</f>
        <v>0</v>
      </c>
      <c r="H279" s="27">
        <f>H280+H281</f>
        <v>0</v>
      </c>
      <c r="I279" s="28">
        <f t="shared" si="200"/>
        <v>7688.88</v>
      </c>
      <c r="J279" s="27">
        <f t="shared" ref="J279:Q279" si="206">J280+J281</f>
        <v>0</v>
      </c>
      <c r="K279" s="27">
        <f t="shared" si="206"/>
        <v>0</v>
      </c>
      <c r="L279" s="27">
        <f t="shared" si="206"/>
        <v>283.45</v>
      </c>
      <c r="M279" s="27">
        <f t="shared" si="206"/>
        <v>7405.43</v>
      </c>
      <c r="N279" s="85">
        <f t="shared" si="206"/>
        <v>0</v>
      </c>
      <c r="O279" s="85">
        <f t="shared" si="206"/>
        <v>0</v>
      </c>
      <c r="P279" s="85">
        <f t="shared" si="206"/>
        <v>0</v>
      </c>
      <c r="Q279" s="85">
        <f t="shared" si="206"/>
        <v>0</v>
      </c>
      <c r="R279" s="118">
        <f t="shared" si="202"/>
        <v>0</v>
      </c>
      <c r="S279" s="85">
        <f>S280+S281</f>
        <v>0</v>
      </c>
      <c r="T279" s="85">
        <f t="shared" ref="T279:AC279" si="207">T280+T281</f>
        <v>0</v>
      </c>
      <c r="U279" s="85">
        <f t="shared" si="207"/>
        <v>0</v>
      </c>
      <c r="V279" s="85">
        <f t="shared" si="207"/>
        <v>0</v>
      </c>
      <c r="W279" s="85">
        <f t="shared" si="207"/>
        <v>0</v>
      </c>
      <c r="X279" s="85">
        <f t="shared" si="207"/>
        <v>0</v>
      </c>
      <c r="Y279" s="85">
        <f t="shared" si="207"/>
        <v>0</v>
      </c>
      <c r="Z279" s="85">
        <f t="shared" si="207"/>
        <v>0</v>
      </c>
      <c r="AA279" s="85">
        <f t="shared" si="207"/>
        <v>0</v>
      </c>
      <c r="AB279" s="85">
        <f t="shared" si="207"/>
        <v>0</v>
      </c>
      <c r="AC279" s="150">
        <f t="shared" si="207"/>
        <v>0</v>
      </c>
      <c r="AD279" s="146">
        <f t="shared" si="172"/>
        <v>0</v>
      </c>
    </row>
    <row r="280" spans="1:30">
      <c r="A280" s="29"/>
      <c r="B280" s="10" t="s">
        <v>31</v>
      </c>
      <c r="C280" s="33"/>
      <c r="D280" s="33"/>
      <c r="E280" s="33"/>
      <c r="F280" s="33">
        <f>H280+I280+AD280</f>
        <v>5463.6019999999999</v>
      </c>
      <c r="G280" s="33">
        <v>0</v>
      </c>
      <c r="H280" s="33">
        <v>0</v>
      </c>
      <c r="I280" s="33">
        <f t="shared" si="200"/>
        <v>5463.6019999999999</v>
      </c>
      <c r="J280" s="11">
        <v>0</v>
      </c>
      <c r="K280" s="11">
        <v>0</v>
      </c>
      <c r="L280" s="42">
        <v>283.45</v>
      </c>
      <c r="M280" s="12">
        <f>5206.344-22.831-3.361</f>
        <v>5180.152</v>
      </c>
      <c r="N280" s="90">
        <v>0</v>
      </c>
      <c r="O280" s="90">
        <v>0</v>
      </c>
      <c r="P280" s="91">
        <v>0</v>
      </c>
      <c r="Q280" s="91">
        <v>0</v>
      </c>
      <c r="R280" s="119">
        <f t="shared" si="202"/>
        <v>0</v>
      </c>
      <c r="S280" s="91">
        <v>0</v>
      </c>
      <c r="T280" s="91">
        <v>0</v>
      </c>
      <c r="U280" s="91">
        <v>0</v>
      </c>
      <c r="V280" s="91">
        <v>0</v>
      </c>
      <c r="W280" s="91">
        <v>0</v>
      </c>
      <c r="X280" s="91">
        <v>0</v>
      </c>
      <c r="Y280" s="91">
        <v>0</v>
      </c>
      <c r="Z280" s="91">
        <v>0</v>
      </c>
      <c r="AA280" s="91">
        <v>0</v>
      </c>
      <c r="AB280" s="91">
        <v>0</v>
      </c>
      <c r="AC280" s="163">
        <v>0</v>
      </c>
      <c r="AD280" s="148">
        <f t="shared" si="172"/>
        <v>0</v>
      </c>
    </row>
    <row r="281" spans="1:30">
      <c r="A281" s="29"/>
      <c r="B281" s="38" t="s">
        <v>41</v>
      </c>
      <c r="C281" s="33"/>
      <c r="D281" s="33"/>
      <c r="E281" s="33"/>
      <c r="F281" s="33">
        <f>H281+I281+AD281</f>
        <v>2225.2780000000002</v>
      </c>
      <c r="G281" s="33">
        <v>0</v>
      </c>
      <c r="H281" s="33">
        <v>0</v>
      </c>
      <c r="I281" s="33">
        <f t="shared" si="200"/>
        <v>2225.2780000000002</v>
      </c>
      <c r="J281" s="11">
        <v>0</v>
      </c>
      <c r="K281" s="11">
        <v>0</v>
      </c>
      <c r="L281" s="42">
        <v>0</v>
      </c>
      <c r="M281" s="12">
        <f>2243.656-12.151-6.227</f>
        <v>2225.2780000000002</v>
      </c>
      <c r="N281" s="90">
        <v>0</v>
      </c>
      <c r="O281" s="90">
        <v>0</v>
      </c>
      <c r="P281" s="91">
        <v>0</v>
      </c>
      <c r="Q281" s="91">
        <v>0</v>
      </c>
      <c r="R281" s="119">
        <f t="shared" si="202"/>
        <v>0</v>
      </c>
      <c r="S281" s="91">
        <v>0</v>
      </c>
      <c r="T281" s="91">
        <v>0</v>
      </c>
      <c r="U281" s="91">
        <v>0</v>
      </c>
      <c r="V281" s="91">
        <v>0</v>
      </c>
      <c r="W281" s="91">
        <v>0</v>
      </c>
      <c r="X281" s="91">
        <v>0</v>
      </c>
      <c r="Y281" s="91">
        <v>0</v>
      </c>
      <c r="Z281" s="91">
        <v>0</v>
      </c>
      <c r="AA281" s="91">
        <v>0</v>
      </c>
      <c r="AB281" s="91">
        <v>0</v>
      </c>
      <c r="AC281" s="163">
        <v>0</v>
      </c>
      <c r="AD281" s="148">
        <f t="shared" si="172"/>
        <v>0</v>
      </c>
    </row>
    <row r="282" spans="1:30" ht="22.5">
      <c r="A282" s="20">
        <v>92</v>
      </c>
      <c r="B282" s="23" t="s">
        <v>181</v>
      </c>
      <c r="C282" s="24" t="s">
        <v>180</v>
      </c>
      <c r="D282" s="47" t="s">
        <v>136</v>
      </c>
      <c r="E282" s="26">
        <f>F283</f>
        <v>1676.7170000000001</v>
      </c>
      <c r="F282" s="27">
        <f>F283+F284</f>
        <v>4710</v>
      </c>
      <c r="G282" s="27">
        <f>G283+G284</f>
        <v>0</v>
      </c>
      <c r="H282" s="27">
        <f>H283+H284</f>
        <v>0</v>
      </c>
      <c r="I282" s="28">
        <f t="shared" si="200"/>
        <v>4710</v>
      </c>
      <c r="J282" s="27">
        <f t="shared" ref="J282:Q282" si="208">J283+J284</f>
        <v>0</v>
      </c>
      <c r="K282" s="27">
        <f t="shared" si="208"/>
        <v>0</v>
      </c>
      <c r="L282" s="27">
        <f t="shared" si="208"/>
        <v>4680</v>
      </c>
      <c r="M282" s="27">
        <f t="shared" si="208"/>
        <v>30</v>
      </c>
      <c r="N282" s="85">
        <f t="shared" si="208"/>
        <v>0</v>
      </c>
      <c r="O282" s="85">
        <f t="shared" si="208"/>
        <v>0</v>
      </c>
      <c r="P282" s="85">
        <f t="shared" si="208"/>
        <v>0</v>
      </c>
      <c r="Q282" s="85">
        <f t="shared" si="208"/>
        <v>0</v>
      </c>
      <c r="R282" s="118">
        <f t="shared" si="202"/>
        <v>0</v>
      </c>
      <c r="S282" s="85">
        <f>S283+S284</f>
        <v>0</v>
      </c>
      <c r="T282" s="85">
        <f t="shared" ref="T282:AC282" si="209">T283+T284</f>
        <v>0</v>
      </c>
      <c r="U282" s="85">
        <f t="shared" si="209"/>
        <v>0</v>
      </c>
      <c r="V282" s="85">
        <f t="shared" si="209"/>
        <v>0</v>
      </c>
      <c r="W282" s="85">
        <f t="shared" si="209"/>
        <v>0</v>
      </c>
      <c r="X282" s="85">
        <f t="shared" si="209"/>
        <v>0</v>
      </c>
      <c r="Y282" s="85">
        <f t="shared" si="209"/>
        <v>0</v>
      </c>
      <c r="Z282" s="85">
        <f t="shared" si="209"/>
        <v>0</v>
      </c>
      <c r="AA282" s="85">
        <f t="shared" si="209"/>
        <v>0</v>
      </c>
      <c r="AB282" s="85">
        <f t="shared" si="209"/>
        <v>0</v>
      </c>
      <c r="AC282" s="150">
        <f t="shared" si="209"/>
        <v>0</v>
      </c>
      <c r="AD282" s="146">
        <f t="shared" si="172"/>
        <v>0</v>
      </c>
    </row>
    <row r="283" spans="1:30">
      <c r="A283" s="29"/>
      <c r="B283" s="10" t="s">
        <v>31</v>
      </c>
      <c r="C283" s="33"/>
      <c r="D283" s="33"/>
      <c r="E283" s="33"/>
      <c r="F283" s="33">
        <f>H283+I283+AD283</f>
        <v>1676.7170000000001</v>
      </c>
      <c r="G283" s="33">
        <v>0</v>
      </c>
      <c r="H283" s="33">
        <v>0</v>
      </c>
      <c r="I283" s="33">
        <f t="shared" si="200"/>
        <v>1676.7170000000001</v>
      </c>
      <c r="J283" s="11">
        <v>0</v>
      </c>
      <c r="K283" s="11">
        <v>0</v>
      </c>
      <c r="L283" s="12">
        <v>1662.182</v>
      </c>
      <c r="M283" s="12">
        <v>14.535</v>
      </c>
      <c r="N283" s="90">
        <v>0</v>
      </c>
      <c r="O283" s="90">
        <v>0</v>
      </c>
      <c r="P283" s="91">
        <v>0</v>
      </c>
      <c r="Q283" s="91">
        <v>0</v>
      </c>
      <c r="R283" s="119">
        <f t="shared" si="202"/>
        <v>0</v>
      </c>
      <c r="S283" s="91">
        <v>0</v>
      </c>
      <c r="T283" s="91">
        <v>0</v>
      </c>
      <c r="U283" s="91">
        <v>0</v>
      </c>
      <c r="V283" s="91">
        <v>0</v>
      </c>
      <c r="W283" s="91">
        <v>0</v>
      </c>
      <c r="X283" s="91">
        <v>0</v>
      </c>
      <c r="Y283" s="91">
        <v>0</v>
      </c>
      <c r="Z283" s="91">
        <v>0</v>
      </c>
      <c r="AA283" s="91">
        <v>0</v>
      </c>
      <c r="AB283" s="91">
        <v>0</v>
      </c>
      <c r="AC283" s="163">
        <v>0</v>
      </c>
      <c r="AD283" s="148">
        <f t="shared" si="172"/>
        <v>0</v>
      </c>
    </row>
    <row r="284" spans="1:30">
      <c r="A284" s="29"/>
      <c r="B284" s="38" t="s">
        <v>41</v>
      </c>
      <c r="C284" s="33"/>
      <c r="D284" s="33"/>
      <c r="E284" s="33"/>
      <c r="F284" s="33">
        <f>H284+I284+AD284</f>
        <v>3033.2830000000004</v>
      </c>
      <c r="G284" s="33">
        <v>0</v>
      </c>
      <c r="H284" s="33">
        <v>0</v>
      </c>
      <c r="I284" s="33">
        <f t="shared" si="200"/>
        <v>3033.2830000000004</v>
      </c>
      <c r="J284" s="11">
        <v>0</v>
      </c>
      <c r="K284" s="11">
        <v>0</v>
      </c>
      <c r="L284" s="12">
        <v>3017.8180000000002</v>
      </c>
      <c r="M284" s="12">
        <v>15.465</v>
      </c>
      <c r="N284" s="90">
        <v>0</v>
      </c>
      <c r="O284" s="90">
        <v>0</v>
      </c>
      <c r="P284" s="91">
        <v>0</v>
      </c>
      <c r="Q284" s="91">
        <v>0</v>
      </c>
      <c r="R284" s="119">
        <f t="shared" si="202"/>
        <v>0</v>
      </c>
      <c r="S284" s="91">
        <v>0</v>
      </c>
      <c r="T284" s="91">
        <v>0</v>
      </c>
      <c r="U284" s="91">
        <v>0</v>
      </c>
      <c r="V284" s="91">
        <v>0</v>
      </c>
      <c r="W284" s="91">
        <v>0</v>
      </c>
      <c r="X284" s="91">
        <v>0</v>
      </c>
      <c r="Y284" s="91">
        <v>0</v>
      </c>
      <c r="Z284" s="91">
        <v>0</v>
      </c>
      <c r="AA284" s="91">
        <v>0</v>
      </c>
      <c r="AB284" s="91">
        <v>0</v>
      </c>
      <c r="AC284" s="163">
        <v>0</v>
      </c>
      <c r="AD284" s="148">
        <f t="shared" si="172"/>
        <v>0</v>
      </c>
    </row>
    <row r="285" spans="1:30" ht="33.75">
      <c r="A285" s="20">
        <v>93</v>
      </c>
      <c r="B285" s="23" t="s">
        <v>182</v>
      </c>
      <c r="C285" s="24" t="s">
        <v>183</v>
      </c>
      <c r="D285" s="47" t="s">
        <v>101</v>
      </c>
      <c r="E285" s="26">
        <f>F286</f>
        <v>100.44</v>
      </c>
      <c r="F285" s="27">
        <f>F286+F287</f>
        <v>669.59999999999991</v>
      </c>
      <c r="G285" s="27">
        <f>G286+G287</f>
        <v>0</v>
      </c>
      <c r="H285" s="27">
        <f>H286+H287</f>
        <v>0</v>
      </c>
      <c r="I285" s="28">
        <f t="shared" si="200"/>
        <v>669.6</v>
      </c>
      <c r="J285" s="27">
        <f t="shared" ref="J285:Q285" si="210">J286+J287</f>
        <v>0</v>
      </c>
      <c r="K285" s="27">
        <f t="shared" si="210"/>
        <v>0</v>
      </c>
      <c r="L285" s="27">
        <f t="shared" si="210"/>
        <v>0</v>
      </c>
      <c r="M285" s="27">
        <f t="shared" si="210"/>
        <v>669</v>
      </c>
      <c r="N285" s="85">
        <f t="shared" si="210"/>
        <v>0.6</v>
      </c>
      <c r="O285" s="85">
        <f t="shared" si="210"/>
        <v>0</v>
      </c>
      <c r="P285" s="85">
        <f t="shared" si="210"/>
        <v>0</v>
      </c>
      <c r="Q285" s="85">
        <f t="shared" si="210"/>
        <v>0</v>
      </c>
      <c r="R285" s="118">
        <f t="shared" si="202"/>
        <v>0</v>
      </c>
      <c r="S285" s="85">
        <f>S286+S287</f>
        <v>0</v>
      </c>
      <c r="T285" s="85">
        <f t="shared" ref="T285:AC285" si="211">T286+T287</f>
        <v>0</v>
      </c>
      <c r="U285" s="85">
        <f t="shared" si="211"/>
        <v>0</v>
      </c>
      <c r="V285" s="85">
        <f t="shared" si="211"/>
        <v>0</v>
      </c>
      <c r="W285" s="85">
        <f t="shared" si="211"/>
        <v>0</v>
      </c>
      <c r="X285" s="85">
        <f t="shared" si="211"/>
        <v>0</v>
      </c>
      <c r="Y285" s="85">
        <f t="shared" si="211"/>
        <v>0</v>
      </c>
      <c r="Z285" s="85">
        <f t="shared" si="211"/>
        <v>0</v>
      </c>
      <c r="AA285" s="85">
        <f t="shared" si="211"/>
        <v>0</v>
      </c>
      <c r="AB285" s="85">
        <f t="shared" si="211"/>
        <v>0</v>
      </c>
      <c r="AC285" s="150">
        <f t="shared" si="211"/>
        <v>0</v>
      </c>
      <c r="AD285" s="146">
        <f t="shared" si="172"/>
        <v>0</v>
      </c>
    </row>
    <row r="286" spans="1:30">
      <c r="A286" s="29"/>
      <c r="B286" s="10" t="s">
        <v>31</v>
      </c>
      <c r="C286" s="33"/>
      <c r="D286" s="33"/>
      <c r="E286" s="33"/>
      <c r="F286" s="33">
        <f>H286+I286+AD286</f>
        <v>100.44</v>
      </c>
      <c r="G286" s="33">
        <v>0</v>
      </c>
      <c r="H286" s="33">
        <v>0</v>
      </c>
      <c r="I286" s="33">
        <f t="shared" si="200"/>
        <v>100.44</v>
      </c>
      <c r="J286" s="11">
        <v>0</v>
      </c>
      <c r="K286" s="11">
        <v>0</v>
      </c>
      <c r="L286" s="12">
        <v>0</v>
      </c>
      <c r="M286" s="12">
        <v>100.35</v>
      </c>
      <c r="N286" s="90">
        <v>0.09</v>
      </c>
      <c r="O286" s="90">
        <v>0</v>
      </c>
      <c r="P286" s="91">
        <v>0</v>
      </c>
      <c r="Q286" s="91">
        <v>0</v>
      </c>
      <c r="R286" s="119">
        <f t="shared" si="202"/>
        <v>0</v>
      </c>
      <c r="S286" s="91">
        <v>0</v>
      </c>
      <c r="T286" s="91">
        <v>0</v>
      </c>
      <c r="U286" s="91">
        <v>0</v>
      </c>
      <c r="V286" s="91">
        <v>0</v>
      </c>
      <c r="W286" s="91">
        <v>0</v>
      </c>
      <c r="X286" s="91">
        <v>0</v>
      </c>
      <c r="Y286" s="91">
        <v>0</v>
      </c>
      <c r="Z286" s="91">
        <v>0</v>
      </c>
      <c r="AA286" s="91">
        <v>0</v>
      </c>
      <c r="AB286" s="91">
        <v>0</v>
      </c>
      <c r="AC286" s="163">
        <v>0</v>
      </c>
      <c r="AD286" s="148">
        <f t="shared" si="172"/>
        <v>0</v>
      </c>
    </row>
    <row r="287" spans="1:30">
      <c r="A287" s="29"/>
      <c r="B287" s="38" t="s">
        <v>41</v>
      </c>
      <c r="C287" s="33"/>
      <c r="D287" s="33"/>
      <c r="E287" s="33"/>
      <c r="F287" s="33">
        <f>H287+I287+AD287</f>
        <v>569.16</v>
      </c>
      <c r="G287" s="33">
        <v>0</v>
      </c>
      <c r="H287" s="33">
        <v>0</v>
      </c>
      <c r="I287" s="33">
        <f t="shared" si="200"/>
        <v>569.16</v>
      </c>
      <c r="J287" s="11">
        <v>0</v>
      </c>
      <c r="K287" s="11">
        <v>0</v>
      </c>
      <c r="L287" s="12">
        <v>0</v>
      </c>
      <c r="M287" s="12">
        <v>568.65</v>
      </c>
      <c r="N287" s="90">
        <v>0.51</v>
      </c>
      <c r="O287" s="90">
        <v>0</v>
      </c>
      <c r="P287" s="91">
        <v>0</v>
      </c>
      <c r="Q287" s="91">
        <v>0</v>
      </c>
      <c r="R287" s="119">
        <f t="shared" si="202"/>
        <v>0</v>
      </c>
      <c r="S287" s="91">
        <v>0</v>
      </c>
      <c r="T287" s="91">
        <v>0</v>
      </c>
      <c r="U287" s="91">
        <v>0</v>
      </c>
      <c r="V287" s="91">
        <v>0</v>
      </c>
      <c r="W287" s="91">
        <v>0</v>
      </c>
      <c r="X287" s="91">
        <v>0</v>
      </c>
      <c r="Y287" s="91">
        <v>0</v>
      </c>
      <c r="Z287" s="91">
        <v>0</v>
      </c>
      <c r="AA287" s="91">
        <v>0</v>
      </c>
      <c r="AB287" s="91">
        <v>0</v>
      </c>
      <c r="AC287" s="163">
        <v>0</v>
      </c>
      <c r="AD287" s="148">
        <f t="shared" si="172"/>
        <v>0</v>
      </c>
    </row>
    <row r="288" spans="1:30" ht="22.5">
      <c r="A288" s="20">
        <v>94</v>
      </c>
      <c r="B288" s="23" t="s">
        <v>184</v>
      </c>
      <c r="C288" s="24" t="s">
        <v>185</v>
      </c>
      <c r="D288" s="47" t="s">
        <v>101</v>
      </c>
      <c r="E288" s="26">
        <f>F289</f>
        <v>563.11900000000003</v>
      </c>
      <c r="F288" s="27">
        <f>F289+F290</f>
        <v>2803.4090000000001</v>
      </c>
      <c r="G288" s="27">
        <f>G289+G290</f>
        <v>0</v>
      </c>
      <c r="H288" s="27">
        <f>H289+H290</f>
        <v>0</v>
      </c>
      <c r="I288" s="28">
        <f t="shared" si="200"/>
        <v>2803.4090000000001</v>
      </c>
      <c r="J288" s="27">
        <f t="shared" ref="J288:Q288" si="212">J289+J290</f>
        <v>0</v>
      </c>
      <c r="K288" s="27">
        <f t="shared" si="212"/>
        <v>0</v>
      </c>
      <c r="L288" s="27">
        <f t="shared" si="212"/>
        <v>0</v>
      </c>
      <c r="M288" s="27">
        <f t="shared" si="212"/>
        <v>2802.4090000000001</v>
      </c>
      <c r="N288" s="85">
        <f t="shared" si="212"/>
        <v>1</v>
      </c>
      <c r="O288" s="85">
        <f t="shared" si="212"/>
        <v>0</v>
      </c>
      <c r="P288" s="85">
        <f t="shared" si="212"/>
        <v>0</v>
      </c>
      <c r="Q288" s="85">
        <f t="shared" si="212"/>
        <v>0</v>
      </c>
      <c r="R288" s="118">
        <f t="shared" si="202"/>
        <v>0</v>
      </c>
      <c r="S288" s="85">
        <f>S289+S290</f>
        <v>0</v>
      </c>
      <c r="T288" s="85">
        <f t="shared" ref="T288:AC288" si="213">T289+T290</f>
        <v>0</v>
      </c>
      <c r="U288" s="85">
        <f t="shared" si="213"/>
        <v>0</v>
      </c>
      <c r="V288" s="85">
        <f t="shared" si="213"/>
        <v>0</v>
      </c>
      <c r="W288" s="85">
        <f t="shared" si="213"/>
        <v>0</v>
      </c>
      <c r="X288" s="85">
        <f t="shared" si="213"/>
        <v>0</v>
      </c>
      <c r="Y288" s="85">
        <f t="shared" si="213"/>
        <v>0</v>
      </c>
      <c r="Z288" s="85">
        <f t="shared" si="213"/>
        <v>0</v>
      </c>
      <c r="AA288" s="85">
        <f t="shared" si="213"/>
        <v>0</v>
      </c>
      <c r="AB288" s="85">
        <f t="shared" si="213"/>
        <v>0</v>
      </c>
      <c r="AC288" s="150">
        <f t="shared" si="213"/>
        <v>0</v>
      </c>
      <c r="AD288" s="146">
        <f t="shared" si="172"/>
        <v>0</v>
      </c>
    </row>
    <row r="289" spans="1:30">
      <c r="A289" s="29"/>
      <c r="B289" s="10" t="s">
        <v>31</v>
      </c>
      <c r="C289" s="33"/>
      <c r="D289" s="33"/>
      <c r="E289" s="33"/>
      <c r="F289" s="33">
        <f>H289+I289+AD289</f>
        <v>563.11900000000003</v>
      </c>
      <c r="G289" s="33">
        <v>0</v>
      </c>
      <c r="H289" s="33">
        <v>0</v>
      </c>
      <c r="I289" s="33">
        <f t="shared" si="200"/>
        <v>563.11900000000003</v>
      </c>
      <c r="J289" s="11">
        <v>0</v>
      </c>
      <c r="K289" s="11">
        <v>0</v>
      </c>
      <c r="L289" s="12">
        <v>0</v>
      </c>
      <c r="M289" s="12">
        <v>562.96900000000005</v>
      </c>
      <c r="N289" s="90">
        <v>0.15</v>
      </c>
      <c r="O289" s="90">
        <v>0</v>
      </c>
      <c r="P289" s="91">
        <v>0</v>
      </c>
      <c r="Q289" s="91">
        <v>0</v>
      </c>
      <c r="R289" s="119">
        <f t="shared" si="202"/>
        <v>0</v>
      </c>
      <c r="S289" s="91">
        <v>0</v>
      </c>
      <c r="T289" s="91">
        <v>0</v>
      </c>
      <c r="U289" s="91">
        <v>0</v>
      </c>
      <c r="V289" s="91">
        <v>0</v>
      </c>
      <c r="W289" s="91">
        <v>0</v>
      </c>
      <c r="X289" s="91">
        <v>0</v>
      </c>
      <c r="Y289" s="91">
        <v>0</v>
      </c>
      <c r="Z289" s="91">
        <v>0</v>
      </c>
      <c r="AA289" s="91">
        <v>0</v>
      </c>
      <c r="AB289" s="91">
        <v>0</v>
      </c>
      <c r="AC289" s="163">
        <v>0</v>
      </c>
      <c r="AD289" s="148">
        <f t="shared" si="172"/>
        <v>0</v>
      </c>
    </row>
    <row r="290" spans="1:30">
      <c r="A290" s="29"/>
      <c r="B290" s="38" t="s">
        <v>41</v>
      </c>
      <c r="C290" s="33"/>
      <c r="D290" s="33"/>
      <c r="E290" s="33"/>
      <c r="F290" s="33">
        <f>H290+I290+AD290</f>
        <v>2240.29</v>
      </c>
      <c r="G290" s="33">
        <v>0</v>
      </c>
      <c r="H290" s="33">
        <v>0</v>
      </c>
      <c r="I290" s="33">
        <f t="shared" si="200"/>
        <v>2240.29</v>
      </c>
      <c r="J290" s="11">
        <v>0</v>
      </c>
      <c r="K290" s="11">
        <v>0</v>
      </c>
      <c r="L290" s="12">
        <v>0</v>
      </c>
      <c r="M290" s="12">
        <v>2239.44</v>
      </c>
      <c r="N290" s="90">
        <v>0.85</v>
      </c>
      <c r="O290" s="90">
        <v>0</v>
      </c>
      <c r="P290" s="91">
        <v>0</v>
      </c>
      <c r="Q290" s="91">
        <v>0</v>
      </c>
      <c r="R290" s="119">
        <f t="shared" si="202"/>
        <v>0</v>
      </c>
      <c r="S290" s="91">
        <v>0</v>
      </c>
      <c r="T290" s="91">
        <v>0</v>
      </c>
      <c r="U290" s="91">
        <v>0</v>
      </c>
      <c r="V290" s="91">
        <v>0</v>
      </c>
      <c r="W290" s="91">
        <v>0</v>
      </c>
      <c r="X290" s="91">
        <v>0</v>
      </c>
      <c r="Y290" s="91">
        <v>0</v>
      </c>
      <c r="Z290" s="91">
        <v>0</v>
      </c>
      <c r="AA290" s="91">
        <v>0</v>
      </c>
      <c r="AB290" s="91">
        <v>0</v>
      </c>
      <c r="AC290" s="163">
        <v>0</v>
      </c>
      <c r="AD290" s="148">
        <f t="shared" si="172"/>
        <v>0</v>
      </c>
    </row>
    <row r="291" spans="1:30" ht="33.75">
      <c r="A291" s="20">
        <v>95</v>
      </c>
      <c r="B291" s="23" t="s">
        <v>186</v>
      </c>
      <c r="C291" s="24" t="s">
        <v>187</v>
      </c>
      <c r="D291" s="47">
        <v>2017</v>
      </c>
      <c r="E291" s="26">
        <f>F292</f>
        <v>124.336</v>
      </c>
      <c r="F291" s="27">
        <f>F292+F293</f>
        <v>634.54</v>
      </c>
      <c r="G291" s="27">
        <f>G292+G293</f>
        <v>0</v>
      </c>
      <c r="H291" s="27">
        <f>H292+H293</f>
        <v>0</v>
      </c>
      <c r="I291" s="28">
        <f t="shared" si="200"/>
        <v>634.54</v>
      </c>
      <c r="J291" s="27">
        <f t="shared" ref="J291:Q291" si="214">J292+J293</f>
        <v>0</v>
      </c>
      <c r="K291" s="27">
        <f t="shared" si="214"/>
        <v>0</v>
      </c>
      <c r="L291" s="27">
        <f t="shared" si="214"/>
        <v>0</v>
      </c>
      <c r="M291" s="27">
        <f t="shared" si="214"/>
        <v>634.29999999999995</v>
      </c>
      <c r="N291" s="85">
        <f t="shared" si="214"/>
        <v>0.24</v>
      </c>
      <c r="O291" s="85">
        <f t="shared" si="214"/>
        <v>0</v>
      </c>
      <c r="P291" s="85">
        <f t="shared" si="214"/>
        <v>0</v>
      </c>
      <c r="Q291" s="85">
        <f t="shared" si="214"/>
        <v>0</v>
      </c>
      <c r="R291" s="118">
        <f t="shared" si="202"/>
        <v>0</v>
      </c>
      <c r="S291" s="85">
        <f>S292+S293</f>
        <v>0</v>
      </c>
      <c r="T291" s="85">
        <f t="shared" ref="T291:AC291" si="215">T292+T293</f>
        <v>0</v>
      </c>
      <c r="U291" s="85">
        <f t="shared" si="215"/>
        <v>0</v>
      </c>
      <c r="V291" s="85">
        <f t="shared" si="215"/>
        <v>0</v>
      </c>
      <c r="W291" s="85">
        <f t="shared" si="215"/>
        <v>0</v>
      </c>
      <c r="X291" s="85">
        <f t="shared" si="215"/>
        <v>0</v>
      </c>
      <c r="Y291" s="85">
        <f t="shared" si="215"/>
        <v>0</v>
      </c>
      <c r="Z291" s="85">
        <f t="shared" si="215"/>
        <v>0</v>
      </c>
      <c r="AA291" s="85">
        <f t="shared" si="215"/>
        <v>0</v>
      </c>
      <c r="AB291" s="85">
        <f t="shared" si="215"/>
        <v>0</v>
      </c>
      <c r="AC291" s="150">
        <f t="shared" si="215"/>
        <v>0</v>
      </c>
      <c r="AD291" s="146">
        <f t="shared" si="172"/>
        <v>0</v>
      </c>
    </row>
    <row r="292" spans="1:30">
      <c r="A292" s="29"/>
      <c r="B292" s="10" t="s">
        <v>31</v>
      </c>
      <c r="C292" s="33"/>
      <c r="D292" s="33"/>
      <c r="E292" s="33"/>
      <c r="F292" s="33">
        <f>H292+I292+AD292</f>
        <v>124.336</v>
      </c>
      <c r="G292" s="33">
        <v>0</v>
      </c>
      <c r="H292" s="33">
        <v>0</v>
      </c>
      <c r="I292" s="33">
        <f t="shared" si="200"/>
        <v>124.336</v>
      </c>
      <c r="J292" s="11">
        <v>0</v>
      </c>
      <c r="K292" s="11">
        <v>0</v>
      </c>
      <c r="L292" s="12">
        <v>0</v>
      </c>
      <c r="M292" s="46">
        <v>124.3</v>
      </c>
      <c r="N292" s="90">
        <v>3.5999999999999997E-2</v>
      </c>
      <c r="O292" s="90">
        <v>0</v>
      </c>
      <c r="P292" s="91">
        <v>0</v>
      </c>
      <c r="Q292" s="91">
        <v>0</v>
      </c>
      <c r="R292" s="119">
        <f t="shared" si="202"/>
        <v>0</v>
      </c>
      <c r="S292" s="91">
        <v>0</v>
      </c>
      <c r="T292" s="91">
        <v>0</v>
      </c>
      <c r="U292" s="91">
        <v>0</v>
      </c>
      <c r="V292" s="91">
        <v>0</v>
      </c>
      <c r="W292" s="91">
        <v>0</v>
      </c>
      <c r="X292" s="91">
        <v>0</v>
      </c>
      <c r="Y292" s="91">
        <v>0</v>
      </c>
      <c r="Z292" s="91">
        <v>0</v>
      </c>
      <c r="AA292" s="91">
        <v>0</v>
      </c>
      <c r="AB292" s="91">
        <v>0</v>
      </c>
      <c r="AC292" s="163">
        <v>0</v>
      </c>
      <c r="AD292" s="148">
        <f t="shared" si="172"/>
        <v>0</v>
      </c>
    </row>
    <row r="293" spans="1:30">
      <c r="A293" s="29"/>
      <c r="B293" s="38" t="s">
        <v>41</v>
      </c>
      <c r="C293" s="33"/>
      <c r="D293" s="33"/>
      <c r="E293" s="33"/>
      <c r="F293" s="33">
        <f>H293+I293+AD293</f>
        <v>510.20400000000001</v>
      </c>
      <c r="G293" s="33">
        <v>0</v>
      </c>
      <c r="H293" s="33">
        <v>0</v>
      </c>
      <c r="I293" s="33">
        <f t="shared" si="200"/>
        <v>510.20400000000001</v>
      </c>
      <c r="J293" s="11">
        <v>0</v>
      </c>
      <c r="K293" s="11">
        <v>0</v>
      </c>
      <c r="L293" s="12">
        <v>0</v>
      </c>
      <c r="M293" s="12">
        <v>510</v>
      </c>
      <c r="N293" s="90">
        <v>0.20399999999999999</v>
      </c>
      <c r="O293" s="90">
        <v>0</v>
      </c>
      <c r="P293" s="91">
        <v>0</v>
      </c>
      <c r="Q293" s="91">
        <v>0</v>
      </c>
      <c r="R293" s="119">
        <f t="shared" si="202"/>
        <v>0</v>
      </c>
      <c r="S293" s="91">
        <v>0</v>
      </c>
      <c r="T293" s="91">
        <v>0</v>
      </c>
      <c r="U293" s="91">
        <v>0</v>
      </c>
      <c r="V293" s="91">
        <v>0</v>
      </c>
      <c r="W293" s="91">
        <v>0</v>
      </c>
      <c r="X293" s="91">
        <v>0</v>
      </c>
      <c r="Y293" s="91">
        <v>0</v>
      </c>
      <c r="Z293" s="91">
        <v>0</v>
      </c>
      <c r="AA293" s="91">
        <v>0</v>
      </c>
      <c r="AB293" s="91">
        <v>0</v>
      </c>
      <c r="AC293" s="163">
        <v>0</v>
      </c>
      <c r="AD293" s="148">
        <f t="shared" si="172"/>
        <v>0</v>
      </c>
    </row>
    <row r="294" spans="1:30" ht="22.5">
      <c r="A294" s="20">
        <v>96</v>
      </c>
      <c r="B294" s="37" t="s">
        <v>370</v>
      </c>
      <c r="C294" s="24" t="s">
        <v>153</v>
      </c>
      <c r="D294" s="25" t="s">
        <v>350</v>
      </c>
      <c r="E294" s="26">
        <f>F295</f>
        <v>16530.599999999999</v>
      </c>
      <c r="F294" s="27">
        <f>F295+F296</f>
        <v>17570.599999999999</v>
      </c>
      <c r="G294" s="27">
        <f>G295+G296</f>
        <v>12822.7</v>
      </c>
      <c r="H294" s="27">
        <f>H295+H296</f>
        <v>14408.5</v>
      </c>
      <c r="I294" s="28">
        <f t="shared" si="200"/>
        <v>3162.1</v>
      </c>
      <c r="J294" s="27">
        <f t="shared" ref="J294:Q294" si="216">J295+J296</f>
        <v>1585.8</v>
      </c>
      <c r="K294" s="27">
        <f t="shared" si="216"/>
        <v>1970.6</v>
      </c>
      <c r="L294" s="27">
        <f t="shared" si="216"/>
        <v>726</v>
      </c>
      <c r="M294" s="27">
        <f t="shared" si="216"/>
        <v>465.5</v>
      </c>
      <c r="N294" s="85">
        <f t="shared" si="216"/>
        <v>0</v>
      </c>
      <c r="O294" s="85">
        <f t="shared" si="216"/>
        <v>0</v>
      </c>
      <c r="P294" s="85">
        <f t="shared" si="216"/>
        <v>0</v>
      </c>
      <c r="Q294" s="85">
        <f t="shared" si="216"/>
        <v>0</v>
      </c>
      <c r="R294" s="118">
        <f t="shared" si="202"/>
        <v>0</v>
      </c>
      <c r="S294" s="85">
        <f>S295+S296</f>
        <v>0</v>
      </c>
      <c r="T294" s="85">
        <f t="shared" ref="T294:AC294" si="217">T295+T296</f>
        <v>0</v>
      </c>
      <c r="U294" s="85">
        <f t="shared" si="217"/>
        <v>0</v>
      </c>
      <c r="V294" s="85">
        <f t="shared" si="217"/>
        <v>0</v>
      </c>
      <c r="W294" s="85">
        <f t="shared" si="217"/>
        <v>0</v>
      </c>
      <c r="X294" s="85">
        <f t="shared" si="217"/>
        <v>0</v>
      </c>
      <c r="Y294" s="85">
        <f t="shared" si="217"/>
        <v>0</v>
      </c>
      <c r="Z294" s="85">
        <f t="shared" si="217"/>
        <v>0</v>
      </c>
      <c r="AA294" s="85">
        <f t="shared" si="217"/>
        <v>0</v>
      </c>
      <c r="AB294" s="85">
        <f t="shared" si="217"/>
        <v>0</v>
      </c>
      <c r="AC294" s="150">
        <f t="shared" si="217"/>
        <v>0</v>
      </c>
      <c r="AD294" s="146">
        <f t="shared" si="172"/>
        <v>0</v>
      </c>
    </row>
    <row r="295" spans="1:30">
      <c r="A295" s="40"/>
      <c r="B295" s="10" t="s">
        <v>31</v>
      </c>
      <c r="C295" s="30"/>
      <c r="D295" s="31"/>
      <c r="E295" s="32"/>
      <c r="F295" s="33">
        <f>H295+I295+AD295</f>
        <v>16530.599999999999</v>
      </c>
      <c r="G295" s="34">
        <v>11782.7</v>
      </c>
      <c r="H295" s="33">
        <v>13368.5</v>
      </c>
      <c r="I295" s="33">
        <f t="shared" si="200"/>
        <v>3162.1</v>
      </c>
      <c r="J295" s="33">
        <v>1585.8</v>
      </c>
      <c r="K295" s="33">
        <v>1970.6</v>
      </c>
      <c r="L295" s="33">
        <v>726</v>
      </c>
      <c r="M295" s="35">
        <v>465.5</v>
      </c>
      <c r="N295" s="87">
        <v>0</v>
      </c>
      <c r="O295" s="87">
        <f>3500-3500</f>
        <v>0</v>
      </c>
      <c r="P295" s="87">
        <f>2300-2300</f>
        <v>0</v>
      </c>
      <c r="Q295" s="87">
        <v>0</v>
      </c>
      <c r="R295" s="119">
        <f t="shared" si="202"/>
        <v>0</v>
      </c>
      <c r="S295" s="87">
        <v>0</v>
      </c>
      <c r="T295" s="87">
        <v>0</v>
      </c>
      <c r="U295" s="87">
        <v>0</v>
      </c>
      <c r="V295" s="87">
        <v>0</v>
      </c>
      <c r="W295" s="87">
        <v>0</v>
      </c>
      <c r="X295" s="87">
        <v>0</v>
      </c>
      <c r="Y295" s="87">
        <v>0</v>
      </c>
      <c r="Z295" s="87">
        <v>0</v>
      </c>
      <c r="AA295" s="87">
        <v>0</v>
      </c>
      <c r="AB295" s="87">
        <v>0</v>
      </c>
      <c r="AC295" s="161">
        <v>0</v>
      </c>
      <c r="AD295" s="148">
        <f t="shared" si="172"/>
        <v>0</v>
      </c>
    </row>
    <row r="296" spans="1:30">
      <c r="A296" s="40"/>
      <c r="B296" s="10" t="s">
        <v>82</v>
      </c>
      <c r="C296" s="30"/>
      <c r="D296" s="31"/>
      <c r="E296" s="32"/>
      <c r="F296" s="33">
        <f>H296+I296+AD296</f>
        <v>1040</v>
      </c>
      <c r="G296" s="34">
        <v>1040</v>
      </c>
      <c r="H296" s="33">
        <v>1040</v>
      </c>
      <c r="I296" s="33">
        <f t="shared" si="200"/>
        <v>0</v>
      </c>
      <c r="J296" s="33">
        <v>0</v>
      </c>
      <c r="K296" s="33">
        <v>0</v>
      </c>
      <c r="L296" s="33">
        <v>0</v>
      </c>
      <c r="M296" s="33">
        <v>0</v>
      </c>
      <c r="N296" s="87">
        <v>0</v>
      </c>
      <c r="O296" s="87">
        <v>0</v>
      </c>
      <c r="P296" s="87">
        <v>0</v>
      </c>
      <c r="Q296" s="87">
        <v>0</v>
      </c>
      <c r="R296" s="119">
        <f t="shared" si="202"/>
        <v>0</v>
      </c>
      <c r="S296" s="87">
        <v>0</v>
      </c>
      <c r="T296" s="87">
        <v>0</v>
      </c>
      <c r="U296" s="87">
        <v>0</v>
      </c>
      <c r="V296" s="87">
        <v>0</v>
      </c>
      <c r="W296" s="87">
        <v>0</v>
      </c>
      <c r="X296" s="87">
        <v>0</v>
      </c>
      <c r="Y296" s="87">
        <v>0</v>
      </c>
      <c r="Z296" s="87">
        <v>0</v>
      </c>
      <c r="AA296" s="87">
        <v>0</v>
      </c>
      <c r="AB296" s="87">
        <v>0</v>
      </c>
      <c r="AC296" s="161">
        <v>0</v>
      </c>
      <c r="AD296" s="148">
        <f t="shared" si="172"/>
        <v>0</v>
      </c>
    </row>
    <row r="297" spans="1:30" ht="45">
      <c r="A297" s="20">
        <v>97</v>
      </c>
      <c r="B297" s="23" t="s">
        <v>188</v>
      </c>
      <c r="C297" s="24" t="s">
        <v>153</v>
      </c>
      <c r="D297" s="47" t="s">
        <v>101</v>
      </c>
      <c r="E297" s="26">
        <f>F298</f>
        <v>10136.448</v>
      </c>
      <c r="F297" s="27">
        <f>F298+F299</f>
        <v>15228.286</v>
      </c>
      <c r="G297" s="27">
        <f>G298+G299</f>
        <v>0</v>
      </c>
      <c r="H297" s="27">
        <f>H298+H299</f>
        <v>0</v>
      </c>
      <c r="I297" s="28">
        <f t="shared" si="200"/>
        <v>15228.286</v>
      </c>
      <c r="J297" s="27">
        <f t="shared" ref="J297:AD297" si="218">J298+J299</f>
        <v>0</v>
      </c>
      <c r="K297" s="27">
        <f t="shared" si="218"/>
        <v>0</v>
      </c>
      <c r="L297" s="27">
        <f t="shared" si="218"/>
        <v>0</v>
      </c>
      <c r="M297" s="27">
        <f t="shared" si="218"/>
        <v>11374.448</v>
      </c>
      <c r="N297" s="85">
        <f t="shared" si="218"/>
        <v>3853.8380000000002</v>
      </c>
      <c r="O297" s="85">
        <f t="shared" si="218"/>
        <v>0</v>
      </c>
      <c r="P297" s="85">
        <f t="shared" si="218"/>
        <v>0</v>
      </c>
      <c r="Q297" s="85">
        <f t="shared" si="218"/>
        <v>0</v>
      </c>
      <c r="R297" s="118">
        <f t="shared" si="218"/>
        <v>0</v>
      </c>
      <c r="S297" s="85">
        <f t="shared" si="218"/>
        <v>0</v>
      </c>
      <c r="T297" s="85">
        <f t="shared" si="218"/>
        <v>0</v>
      </c>
      <c r="U297" s="85">
        <f t="shared" si="218"/>
        <v>0</v>
      </c>
      <c r="V297" s="85">
        <f t="shared" si="218"/>
        <v>0</v>
      </c>
      <c r="W297" s="85">
        <f t="shared" si="218"/>
        <v>0</v>
      </c>
      <c r="X297" s="85">
        <f t="shared" si="218"/>
        <v>0</v>
      </c>
      <c r="Y297" s="85">
        <f t="shared" si="218"/>
        <v>0</v>
      </c>
      <c r="Z297" s="85">
        <f t="shared" si="218"/>
        <v>0</v>
      </c>
      <c r="AA297" s="85">
        <f t="shared" si="218"/>
        <v>0</v>
      </c>
      <c r="AB297" s="85">
        <f t="shared" si="218"/>
        <v>0</v>
      </c>
      <c r="AC297" s="150">
        <f t="shared" si="218"/>
        <v>0</v>
      </c>
      <c r="AD297" s="146">
        <f t="shared" si="218"/>
        <v>0</v>
      </c>
    </row>
    <row r="298" spans="1:30">
      <c r="A298" s="29"/>
      <c r="B298" s="10" t="s">
        <v>31</v>
      </c>
      <c r="C298" s="33"/>
      <c r="D298" s="33"/>
      <c r="E298" s="33"/>
      <c r="F298" s="33">
        <f>H298+I298+AD298</f>
        <v>10136.448</v>
      </c>
      <c r="G298" s="33">
        <v>0</v>
      </c>
      <c r="H298" s="33">
        <v>0</v>
      </c>
      <c r="I298" s="33">
        <f t="shared" si="200"/>
        <v>10136.448</v>
      </c>
      <c r="J298" s="11">
        <v>0</v>
      </c>
      <c r="K298" s="11">
        <v>0</v>
      </c>
      <c r="L298" s="12">
        <v>0</v>
      </c>
      <c r="M298" s="46">
        <v>6866.3710000000001</v>
      </c>
      <c r="N298" s="94">
        <v>3270.0770000000002</v>
      </c>
      <c r="O298" s="90">
        <v>0</v>
      </c>
      <c r="P298" s="91">
        <v>0</v>
      </c>
      <c r="Q298" s="91">
        <v>0</v>
      </c>
      <c r="R298" s="119">
        <f t="shared" ref="R298:R312" si="219">SUM(S298:AC298)</f>
        <v>0</v>
      </c>
      <c r="S298" s="91">
        <v>0</v>
      </c>
      <c r="T298" s="91">
        <v>0</v>
      </c>
      <c r="U298" s="91">
        <v>0</v>
      </c>
      <c r="V298" s="91">
        <v>0</v>
      </c>
      <c r="W298" s="91">
        <v>0</v>
      </c>
      <c r="X298" s="91">
        <v>0</v>
      </c>
      <c r="Y298" s="91">
        <v>0</v>
      </c>
      <c r="Z298" s="91">
        <v>0</v>
      </c>
      <c r="AA298" s="91">
        <v>0</v>
      </c>
      <c r="AB298" s="91">
        <v>0</v>
      </c>
      <c r="AC298" s="163">
        <v>0</v>
      </c>
      <c r="AD298" s="148">
        <f t="shared" si="172"/>
        <v>0</v>
      </c>
    </row>
    <row r="299" spans="1:30">
      <c r="A299" s="29"/>
      <c r="B299" s="38" t="s">
        <v>41</v>
      </c>
      <c r="C299" s="33"/>
      <c r="D299" s="33"/>
      <c r="E299" s="33"/>
      <c r="F299" s="33">
        <f>H299+I299+AD299</f>
        <v>5091.8379999999997</v>
      </c>
      <c r="G299" s="33">
        <v>0</v>
      </c>
      <c r="H299" s="33">
        <v>0</v>
      </c>
      <c r="I299" s="33">
        <f t="shared" si="200"/>
        <v>5091.8379999999997</v>
      </c>
      <c r="J299" s="11">
        <v>0</v>
      </c>
      <c r="K299" s="11">
        <v>0</v>
      </c>
      <c r="L299" s="12">
        <v>0</v>
      </c>
      <c r="M299" s="46">
        <v>4508.0770000000002</v>
      </c>
      <c r="N299" s="94">
        <v>583.76099999999997</v>
      </c>
      <c r="O299" s="90">
        <v>0</v>
      </c>
      <c r="P299" s="91">
        <v>0</v>
      </c>
      <c r="Q299" s="91">
        <v>0</v>
      </c>
      <c r="R299" s="119">
        <f t="shared" si="219"/>
        <v>0</v>
      </c>
      <c r="S299" s="91">
        <v>0</v>
      </c>
      <c r="T299" s="91">
        <v>0</v>
      </c>
      <c r="U299" s="91">
        <v>0</v>
      </c>
      <c r="V299" s="91">
        <v>0</v>
      </c>
      <c r="W299" s="91">
        <v>0</v>
      </c>
      <c r="X299" s="91">
        <v>0</v>
      </c>
      <c r="Y299" s="91">
        <v>0</v>
      </c>
      <c r="Z299" s="91">
        <v>0</v>
      </c>
      <c r="AA299" s="91">
        <v>0</v>
      </c>
      <c r="AB299" s="91">
        <v>0</v>
      </c>
      <c r="AC299" s="163">
        <v>0</v>
      </c>
      <c r="AD299" s="148">
        <f t="shared" si="172"/>
        <v>0</v>
      </c>
    </row>
    <row r="300" spans="1:30" ht="33.75">
      <c r="A300" s="20">
        <v>98</v>
      </c>
      <c r="B300" s="23" t="s">
        <v>189</v>
      </c>
      <c r="C300" s="24" t="s">
        <v>180</v>
      </c>
      <c r="D300" s="47">
        <v>2017</v>
      </c>
      <c r="E300" s="26">
        <f>F301</f>
        <v>819.98099999999999</v>
      </c>
      <c r="F300" s="27">
        <f>F301+F302</f>
        <v>3537.0219999999999</v>
      </c>
      <c r="G300" s="27">
        <f>G301+G302</f>
        <v>0</v>
      </c>
      <c r="H300" s="27">
        <f>H301+H302</f>
        <v>0</v>
      </c>
      <c r="I300" s="28">
        <f t="shared" si="200"/>
        <v>3537.0219999999999</v>
      </c>
      <c r="J300" s="27">
        <f t="shared" ref="J300:Q300" si="220">J301+J302</f>
        <v>0</v>
      </c>
      <c r="K300" s="27">
        <f t="shared" si="220"/>
        <v>0</v>
      </c>
      <c r="L300" s="27">
        <f t="shared" si="220"/>
        <v>0</v>
      </c>
      <c r="M300" s="27">
        <f t="shared" si="220"/>
        <v>3537.0219999999999</v>
      </c>
      <c r="N300" s="85">
        <f t="shared" si="220"/>
        <v>0</v>
      </c>
      <c r="O300" s="85">
        <f t="shared" si="220"/>
        <v>0</v>
      </c>
      <c r="P300" s="85">
        <f t="shared" si="220"/>
        <v>0</v>
      </c>
      <c r="Q300" s="85">
        <f t="shared" si="220"/>
        <v>0</v>
      </c>
      <c r="R300" s="118">
        <f t="shared" si="219"/>
        <v>0</v>
      </c>
      <c r="S300" s="85">
        <f>S301+S302</f>
        <v>0</v>
      </c>
      <c r="T300" s="85">
        <f t="shared" ref="T300:AC300" si="221">T301+T302</f>
        <v>0</v>
      </c>
      <c r="U300" s="85">
        <f t="shared" si="221"/>
        <v>0</v>
      </c>
      <c r="V300" s="85">
        <f t="shared" si="221"/>
        <v>0</v>
      </c>
      <c r="W300" s="85">
        <f t="shared" si="221"/>
        <v>0</v>
      </c>
      <c r="X300" s="85">
        <f t="shared" si="221"/>
        <v>0</v>
      </c>
      <c r="Y300" s="85">
        <f t="shared" si="221"/>
        <v>0</v>
      </c>
      <c r="Z300" s="85">
        <f t="shared" si="221"/>
        <v>0</v>
      </c>
      <c r="AA300" s="85">
        <f t="shared" si="221"/>
        <v>0</v>
      </c>
      <c r="AB300" s="85">
        <f t="shared" si="221"/>
        <v>0</v>
      </c>
      <c r="AC300" s="150">
        <f t="shared" si="221"/>
        <v>0</v>
      </c>
      <c r="AD300" s="146">
        <f t="shared" si="172"/>
        <v>0</v>
      </c>
    </row>
    <row r="301" spans="1:30">
      <c r="A301" s="29"/>
      <c r="B301" s="10" t="s">
        <v>31</v>
      </c>
      <c r="C301" s="33"/>
      <c r="D301" s="33"/>
      <c r="E301" s="33"/>
      <c r="F301" s="33">
        <f>H301+I301+AD301</f>
        <v>819.98099999999999</v>
      </c>
      <c r="G301" s="33">
        <v>0</v>
      </c>
      <c r="H301" s="33">
        <v>0</v>
      </c>
      <c r="I301" s="33">
        <f t="shared" si="200"/>
        <v>819.98099999999999</v>
      </c>
      <c r="J301" s="11">
        <v>0</v>
      </c>
      <c r="K301" s="11">
        <v>0</v>
      </c>
      <c r="L301" s="12">
        <v>0</v>
      </c>
      <c r="M301" s="46">
        <f>824.355-4.374</f>
        <v>819.98099999999999</v>
      </c>
      <c r="N301" s="90">
        <v>0</v>
      </c>
      <c r="O301" s="90">
        <v>0</v>
      </c>
      <c r="P301" s="91">
        <v>0</v>
      </c>
      <c r="Q301" s="91">
        <v>0</v>
      </c>
      <c r="R301" s="119">
        <f t="shared" si="219"/>
        <v>0</v>
      </c>
      <c r="S301" s="91">
        <v>0</v>
      </c>
      <c r="T301" s="91">
        <v>0</v>
      </c>
      <c r="U301" s="91">
        <v>0</v>
      </c>
      <c r="V301" s="91">
        <v>0</v>
      </c>
      <c r="W301" s="91">
        <v>0</v>
      </c>
      <c r="X301" s="91">
        <v>0</v>
      </c>
      <c r="Y301" s="91">
        <v>0</v>
      </c>
      <c r="Z301" s="91">
        <v>0</v>
      </c>
      <c r="AA301" s="91">
        <v>0</v>
      </c>
      <c r="AB301" s="91">
        <v>0</v>
      </c>
      <c r="AC301" s="163">
        <v>0</v>
      </c>
      <c r="AD301" s="148">
        <f t="shared" si="172"/>
        <v>0</v>
      </c>
    </row>
    <row r="302" spans="1:30">
      <c r="A302" s="29"/>
      <c r="B302" s="38" t="s">
        <v>41</v>
      </c>
      <c r="C302" s="33"/>
      <c r="D302" s="33"/>
      <c r="E302" s="33"/>
      <c r="F302" s="33">
        <f>H302+I302+AD302</f>
        <v>2717.0410000000002</v>
      </c>
      <c r="G302" s="33">
        <v>0</v>
      </c>
      <c r="H302" s="33">
        <v>0</v>
      </c>
      <c r="I302" s="33">
        <f t="shared" si="200"/>
        <v>2717.0410000000002</v>
      </c>
      <c r="J302" s="11">
        <v>0</v>
      </c>
      <c r="K302" s="11">
        <v>0</v>
      </c>
      <c r="L302" s="12">
        <v>0</v>
      </c>
      <c r="M302" s="46">
        <f>2725.766-8.725</f>
        <v>2717.0410000000002</v>
      </c>
      <c r="N302" s="90">
        <v>0</v>
      </c>
      <c r="O302" s="90">
        <v>0</v>
      </c>
      <c r="P302" s="91">
        <v>0</v>
      </c>
      <c r="Q302" s="91">
        <v>0</v>
      </c>
      <c r="R302" s="119">
        <f t="shared" si="219"/>
        <v>0</v>
      </c>
      <c r="S302" s="91">
        <v>0</v>
      </c>
      <c r="T302" s="91">
        <v>0</v>
      </c>
      <c r="U302" s="91">
        <v>0</v>
      </c>
      <c r="V302" s="91">
        <v>0</v>
      </c>
      <c r="W302" s="91">
        <v>0</v>
      </c>
      <c r="X302" s="91">
        <v>0</v>
      </c>
      <c r="Y302" s="91">
        <v>0</v>
      </c>
      <c r="Z302" s="91">
        <v>0</v>
      </c>
      <c r="AA302" s="91">
        <v>0</v>
      </c>
      <c r="AB302" s="91">
        <v>0</v>
      </c>
      <c r="AC302" s="163">
        <v>0</v>
      </c>
      <c r="AD302" s="148">
        <f t="shared" si="172"/>
        <v>0</v>
      </c>
    </row>
    <row r="303" spans="1:30" ht="22.5">
      <c r="A303" s="20">
        <v>99</v>
      </c>
      <c r="B303" s="104" t="s">
        <v>384</v>
      </c>
      <c r="C303" s="24" t="s">
        <v>190</v>
      </c>
      <c r="D303" s="25" t="s">
        <v>192</v>
      </c>
      <c r="E303" s="26">
        <f>F304</f>
        <v>128840.36500000001</v>
      </c>
      <c r="F303" s="27">
        <f>F304+F305</f>
        <v>128840.36500000001</v>
      </c>
      <c r="G303" s="27">
        <f>G304+G305</f>
        <v>50155.805</v>
      </c>
      <c r="H303" s="27">
        <f>H304+H305</f>
        <v>52785.805</v>
      </c>
      <c r="I303" s="28">
        <f t="shared" si="200"/>
        <v>63565.090000000004</v>
      </c>
      <c r="J303" s="27">
        <f t="shared" ref="J303:Q303" si="222">J304+J305</f>
        <v>2630</v>
      </c>
      <c r="K303" s="27">
        <f t="shared" si="222"/>
        <v>4730</v>
      </c>
      <c r="L303" s="27">
        <f t="shared" si="222"/>
        <v>3175.31</v>
      </c>
      <c r="M303" s="27">
        <f t="shared" si="222"/>
        <v>9831.7000000000007</v>
      </c>
      <c r="N303" s="85">
        <f t="shared" si="222"/>
        <v>40572.65</v>
      </c>
      <c r="O303" s="85">
        <f t="shared" si="222"/>
        <v>5255.43</v>
      </c>
      <c r="P303" s="88">
        <f t="shared" si="222"/>
        <v>5989.47</v>
      </c>
      <c r="Q303" s="85">
        <f t="shared" si="222"/>
        <v>5500</v>
      </c>
      <c r="R303" s="118">
        <f t="shared" si="219"/>
        <v>1000</v>
      </c>
      <c r="S303" s="85">
        <f>S304+S305</f>
        <v>1000</v>
      </c>
      <c r="T303" s="85">
        <f t="shared" ref="T303:AC303" si="223">T304+T305</f>
        <v>0</v>
      </c>
      <c r="U303" s="85">
        <f t="shared" si="223"/>
        <v>0</v>
      </c>
      <c r="V303" s="85">
        <f t="shared" si="223"/>
        <v>0</v>
      </c>
      <c r="W303" s="85">
        <f t="shared" si="223"/>
        <v>0</v>
      </c>
      <c r="X303" s="85">
        <f t="shared" si="223"/>
        <v>0</v>
      </c>
      <c r="Y303" s="85">
        <f t="shared" si="223"/>
        <v>0</v>
      </c>
      <c r="Z303" s="85">
        <f t="shared" si="223"/>
        <v>0</v>
      </c>
      <c r="AA303" s="85">
        <f t="shared" si="223"/>
        <v>0</v>
      </c>
      <c r="AB303" s="85">
        <f t="shared" si="223"/>
        <v>0</v>
      </c>
      <c r="AC303" s="150">
        <f t="shared" si="223"/>
        <v>0</v>
      </c>
      <c r="AD303" s="146">
        <f t="shared" si="172"/>
        <v>12489.470000000001</v>
      </c>
    </row>
    <row r="304" spans="1:30">
      <c r="A304" s="40"/>
      <c r="B304" s="10" t="s">
        <v>31</v>
      </c>
      <c r="C304" s="30"/>
      <c r="D304" s="31"/>
      <c r="E304" s="32"/>
      <c r="F304" s="33">
        <f>H304+I304+AD304</f>
        <v>128840.36500000001</v>
      </c>
      <c r="G304" s="34">
        <v>50155.805</v>
      </c>
      <c r="H304" s="33">
        <v>52785.805</v>
      </c>
      <c r="I304" s="33">
        <f t="shared" si="200"/>
        <v>63565.090000000004</v>
      </c>
      <c r="J304" s="33">
        <v>2630</v>
      </c>
      <c r="K304" s="33">
        <v>4730</v>
      </c>
      <c r="L304" s="33">
        <v>3175.31</v>
      </c>
      <c r="M304" s="35">
        <v>9831.7000000000007</v>
      </c>
      <c r="N304" s="87">
        <v>40572.65</v>
      </c>
      <c r="O304" s="86">
        <v>5255.43</v>
      </c>
      <c r="P304" s="86">
        <v>5989.47</v>
      </c>
      <c r="Q304" s="86">
        <v>5500</v>
      </c>
      <c r="R304" s="119">
        <f t="shared" si="219"/>
        <v>1000</v>
      </c>
      <c r="S304" s="86">
        <v>1000</v>
      </c>
      <c r="T304" s="86">
        <v>0</v>
      </c>
      <c r="U304" s="87">
        <v>0</v>
      </c>
      <c r="V304" s="87">
        <v>0</v>
      </c>
      <c r="W304" s="87">
        <v>0</v>
      </c>
      <c r="X304" s="87">
        <v>0</v>
      </c>
      <c r="Y304" s="87">
        <v>0</v>
      </c>
      <c r="Z304" s="87">
        <v>0</v>
      </c>
      <c r="AA304" s="87">
        <v>0</v>
      </c>
      <c r="AB304" s="87">
        <v>0</v>
      </c>
      <c r="AC304" s="161">
        <v>0</v>
      </c>
      <c r="AD304" s="148">
        <f t="shared" si="172"/>
        <v>12489.470000000001</v>
      </c>
    </row>
    <row r="305" spans="1:30">
      <c r="A305" s="40"/>
      <c r="B305" s="38" t="s">
        <v>41</v>
      </c>
      <c r="C305" s="30"/>
      <c r="D305" s="31"/>
      <c r="E305" s="32"/>
      <c r="F305" s="33">
        <f>H305+I305+AD305</f>
        <v>0</v>
      </c>
      <c r="G305" s="34">
        <v>0</v>
      </c>
      <c r="H305" s="33">
        <v>0</v>
      </c>
      <c r="I305" s="33">
        <f t="shared" si="200"/>
        <v>0</v>
      </c>
      <c r="J305" s="33">
        <v>0</v>
      </c>
      <c r="K305" s="33">
        <v>0</v>
      </c>
      <c r="L305" s="33">
        <v>0</v>
      </c>
      <c r="M305" s="33">
        <v>0</v>
      </c>
      <c r="N305" s="87">
        <v>0</v>
      </c>
      <c r="O305" s="87">
        <v>0</v>
      </c>
      <c r="P305" s="87">
        <v>0</v>
      </c>
      <c r="Q305" s="87">
        <v>0</v>
      </c>
      <c r="R305" s="119">
        <f t="shared" si="219"/>
        <v>0</v>
      </c>
      <c r="S305" s="87">
        <v>0</v>
      </c>
      <c r="T305" s="87">
        <v>0</v>
      </c>
      <c r="U305" s="87">
        <v>0</v>
      </c>
      <c r="V305" s="87">
        <v>0</v>
      </c>
      <c r="W305" s="87">
        <v>0</v>
      </c>
      <c r="X305" s="87">
        <v>0</v>
      </c>
      <c r="Y305" s="87">
        <v>0</v>
      </c>
      <c r="Z305" s="87">
        <v>0</v>
      </c>
      <c r="AA305" s="87">
        <v>0</v>
      </c>
      <c r="AB305" s="87">
        <v>0</v>
      </c>
      <c r="AC305" s="161">
        <v>0</v>
      </c>
      <c r="AD305" s="148">
        <f t="shared" si="172"/>
        <v>0</v>
      </c>
    </row>
    <row r="306" spans="1:30" ht="25.5" customHeight="1">
      <c r="A306" s="20">
        <v>100</v>
      </c>
      <c r="B306" s="37" t="s">
        <v>191</v>
      </c>
      <c r="C306" s="24" t="s">
        <v>365</v>
      </c>
      <c r="D306" s="25" t="s">
        <v>438</v>
      </c>
      <c r="E306" s="26">
        <f>F307</f>
        <v>161926.997</v>
      </c>
      <c r="F306" s="27">
        <f>F307+F308</f>
        <v>161926.997</v>
      </c>
      <c r="G306" s="27">
        <f>G307+G308</f>
        <v>68929.676999999996</v>
      </c>
      <c r="H306" s="27">
        <f>H307+H308</f>
        <v>69052.676999999996</v>
      </c>
      <c r="I306" s="28">
        <f t="shared" ref="I306:I337" si="224">SUM(K306:O306)</f>
        <v>40777.32</v>
      </c>
      <c r="J306" s="27">
        <f>J307</f>
        <v>123</v>
      </c>
      <c r="K306" s="27">
        <f t="shared" ref="K306:Q306" si="225">K307+K308</f>
        <v>7720</v>
      </c>
      <c r="L306" s="27">
        <f t="shared" si="225"/>
        <v>823</v>
      </c>
      <c r="M306" s="27">
        <f t="shared" si="225"/>
        <v>2821.1</v>
      </c>
      <c r="N306" s="85">
        <f t="shared" si="225"/>
        <v>24479.32</v>
      </c>
      <c r="O306" s="85">
        <f t="shared" si="225"/>
        <v>4933.8999999999996</v>
      </c>
      <c r="P306" s="88">
        <f t="shared" si="225"/>
        <v>8490</v>
      </c>
      <c r="Q306" s="85">
        <f t="shared" si="225"/>
        <v>13807</v>
      </c>
      <c r="R306" s="118">
        <f t="shared" si="219"/>
        <v>29800</v>
      </c>
      <c r="S306" s="85">
        <f>S307+S308</f>
        <v>15500</v>
      </c>
      <c r="T306" s="85">
        <f t="shared" ref="T306:AC306" si="226">T307+T308</f>
        <v>4500</v>
      </c>
      <c r="U306" s="85">
        <f t="shared" si="226"/>
        <v>5000</v>
      </c>
      <c r="V306" s="85">
        <f t="shared" si="226"/>
        <v>4800</v>
      </c>
      <c r="W306" s="85">
        <f t="shared" si="226"/>
        <v>0</v>
      </c>
      <c r="X306" s="85">
        <f t="shared" si="226"/>
        <v>0</v>
      </c>
      <c r="Y306" s="85">
        <f t="shared" si="226"/>
        <v>0</v>
      </c>
      <c r="Z306" s="85">
        <f t="shared" si="226"/>
        <v>0</v>
      </c>
      <c r="AA306" s="85">
        <f t="shared" si="226"/>
        <v>0</v>
      </c>
      <c r="AB306" s="85">
        <f t="shared" si="226"/>
        <v>0</v>
      </c>
      <c r="AC306" s="150">
        <f t="shared" si="226"/>
        <v>0</v>
      </c>
      <c r="AD306" s="146">
        <f t="shared" ref="AD306:AD402" si="227">P306+Q306+R306</f>
        <v>52097</v>
      </c>
    </row>
    <row r="307" spans="1:30">
      <c r="A307" s="40"/>
      <c r="B307" s="10" t="s">
        <v>31</v>
      </c>
      <c r="C307" s="30"/>
      <c r="D307" s="31"/>
      <c r="E307" s="32"/>
      <c r="F307" s="33">
        <f>H307+I307+AD307</f>
        <v>161926.997</v>
      </c>
      <c r="G307" s="33">
        <v>68929.676999999996</v>
      </c>
      <c r="H307" s="33">
        <v>69052.676999999996</v>
      </c>
      <c r="I307" s="33">
        <f t="shared" si="224"/>
        <v>40777.32</v>
      </c>
      <c r="J307" s="33">
        <v>123</v>
      </c>
      <c r="K307" s="33">
        <v>7720</v>
      </c>
      <c r="L307" s="33">
        <v>823</v>
      </c>
      <c r="M307" s="35">
        <v>2821.1</v>
      </c>
      <c r="N307" s="87">
        <v>24479.32</v>
      </c>
      <c r="O307" s="87">
        <v>4933.8999999999996</v>
      </c>
      <c r="P307" s="87">
        <v>8490</v>
      </c>
      <c r="Q307" s="87">
        <v>13807</v>
      </c>
      <c r="R307" s="119">
        <f t="shared" si="219"/>
        <v>29800</v>
      </c>
      <c r="S307" s="87">
        <v>15500</v>
      </c>
      <c r="T307" s="87">
        <v>4500</v>
      </c>
      <c r="U307" s="87">
        <v>5000</v>
      </c>
      <c r="V307" s="87">
        <v>4800</v>
      </c>
      <c r="W307" s="87">
        <v>0</v>
      </c>
      <c r="X307" s="87">
        <v>0</v>
      </c>
      <c r="Y307" s="87">
        <v>0</v>
      </c>
      <c r="Z307" s="87">
        <v>0</v>
      </c>
      <c r="AA307" s="87">
        <v>0</v>
      </c>
      <c r="AB307" s="87">
        <v>0</v>
      </c>
      <c r="AC307" s="161">
        <v>0</v>
      </c>
      <c r="AD307" s="148">
        <f t="shared" si="227"/>
        <v>52097</v>
      </c>
    </row>
    <row r="308" spans="1:30">
      <c r="A308" s="40"/>
      <c r="B308" s="38" t="s">
        <v>41</v>
      </c>
      <c r="C308" s="30"/>
      <c r="D308" s="31"/>
      <c r="E308" s="32"/>
      <c r="F308" s="33">
        <f>H308+I308+AD308</f>
        <v>0</v>
      </c>
      <c r="G308" s="33"/>
      <c r="H308" s="33"/>
      <c r="I308" s="33">
        <f t="shared" si="224"/>
        <v>0</v>
      </c>
      <c r="J308" s="33"/>
      <c r="K308" s="33"/>
      <c r="L308" s="33">
        <v>0</v>
      </c>
      <c r="M308" s="33">
        <v>0</v>
      </c>
      <c r="N308" s="87"/>
      <c r="O308" s="87"/>
      <c r="P308" s="87"/>
      <c r="Q308" s="87"/>
      <c r="R308" s="119">
        <f t="shared" si="219"/>
        <v>0</v>
      </c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161"/>
      <c r="AD308" s="148">
        <f t="shared" si="227"/>
        <v>0</v>
      </c>
    </row>
    <row r="309" spans="1:30" ht="22.5">
      <c r="A309" s="20">
        <v>101</v>
      </c>
      <c r="B309" s="37" t="s">
        <v>193</v>
      </c>
      <c r="C309" s="24" t="s">
        <v>194</v>
      </c>
      <c r="D309" s="25" t="s">
        <v>195</v>
      </c>
      <c r="E309" s="26">
        <f>F310</f>
        <v>9553</v>
      </c>
      <c r="F309" s="27">
        <f>F310</f>
        <v>9553</v>
      </c>
      <c r="G309" s="28">
        <f>G310</f>
        <v>9153</v>
      </c>
      <c r="H309" s="28">
        <f>H310</f>
        <v>9153</v>
      </c>
      <c r="I309" s="28">
        <f t="shared" si="224"/>
        <v>400</v>
      </c>
      <c r="J309" s="27">
        <f>J310</f>
        <v>0</v>
      </c>
      <c r="K309" s="27">
        <f t="shared" ref="K309:Q309" si="228">K310</f>
        <v>400</v>
      </c>
      <c r="L309" s="27">
        <f t="shared" si="228"/>
        <v>0</v>
      </c>
      <c r="M309" s="27">
        <f t="shared" si="228"/>
        <v>0</v>
      </c>
      <c r="N309" s="85">
        <f t="shared" si="228"/>
        <v>0</v>
      </c>
      <c r="O309" s="85">
        <f t="shared" si="228"/>
        <v>0</v>
      </c>
      <c r="P309" s="85">
        <f t="shared" si="228"/>
        <v>0</v>
      </c>
      <c r="Q309" s="85">
        <f t="shared" si="228"/>
        <v>0</v>
      </c>
      <c r="R309" s="118">
        <f t="shared" si="219"/>
        <v>0</v>
      </c>
      <c r="S309" s="85">
        <f>S310</f>
        <v>0</v>
      </c>
      <c r="T309" s="85">
        <f t="shared" ref="T309:AC309" si="229">T310</f>
        <v>0</v>
      </c>
      <c r="U309" s="85">
        <f t="shared" si="229"/>
        <v>0</v>
      </c>
      <c r="V309" s="85">
        <f t="shared" si="229"/>
        <v>0</v>
      </c>
      <c r="W309" s="85">
        <f t="shared" si="229"/>
        <v>0</v>
      </c>
      <c r="X309" s="85">
        <f t="shared" si="229"/>
        <v>0</v>
      </c>
      <c r="Y309" s="85">
        <f t="shared" si="229"/>
        <v>0</v>
      </c>
      <c r="Z309" s="85">
        <f t="shared" si="229"/>
        <v>0</v>
      </c>
      <c r="AA309" s="85">
        <f t="shared" si="229"/>
        <v>0</v>
      </c>
      <c r="AB309" s="85">
        <f t="shared" si="229"/>
        <v>0</v>
      </c>
      <c r="AC309" s="150">
        <f t="shared" si="229"/>
        <v>0</v>
      </c>
      <c r="AD309" s="146">
        <f t="shared" si="227"/>
        <v>0</v>
      </c>
    </row>
    <row r="310" spans="1:30">
      <c r="A310" s="40"/>
      <c r="B310" s="10" t="s">
        <v>31</v>
      </c>
      <c r="C310" s="30"/>
      <c r="D310" s="31"/>
      <c r="E310" s="32"/>
      <c r="F310" s="33">
        <f>H310+I310+AD310</f>
        <v>9553</v>
      </c>
      <c r="G310" s="34">
        <v>9153</v>
      </c>
      <c r="H310" s="33">
        <v>9153</v>
      </c>
      <c r="I310" s="33">
        <f t="shared" si="224"/>
        <v>400</v>
      </c>
      <c r="J310" s="33">
        <v>0</v>
      </c>
      <c r="K310" s="33">
        <v>400</v>
      </c>
      <c r="L310" s="33">
        <v>0</v>
      </c>
      <c r="M310" s="33">
        <v>0</v>
      </c>
      <c r="N310" s="87">
        <v>0</v>
      </c>
      <c r="O310" s="87">
        <v>0</v>
      </c>
      <c r="P310" s="87">
        <v>0</v>
      </c>
      <c r="Q310" s="87">
        <v>0</v>
      </c>
      <c r="R310" s="119">
        <f t="shared" si="219"/>
        <v>0</v>
      </c>
      <c r="S310" s="87">
        <v>0</v>
      </c>
      <c r="T310" s="87">
        <v>0</v>
      </c>
      <c r="U310" s="87">
        <v>0</v>
      </c>
      <c r="V310" s="87">
        <v>0</v>
      </c>
      <c r="W310" s="87">
        <v>0</v>
      </c>
      <c r="X310" s="87">
        <v>0</v>
      </c>
      <c r="Y310" s="87">
        <v>0</v>
      </c>
      <c r="Z310" s="87">
        <v>0</v>
      </c>
      <c r="AA310" s="87">
        <v>0</v>
      </c>
      <c r="AB310" s="87">
        <v>0</v>
      </c>
      <c r="AC310" s="161">
        <v>0</v>
      </c>
      <c r="AD310" s="148">
        <f t="shared" si="227"/>
        <v>0</v>
      </c>
    </row>
    <row r="311" spans="1:30" ht="33.75">
      <c r="A311" s="20">
        <v>102</v>
      </c>
      <c r="B311" s="37" t="s">
        <v>196</v>
      </c>
      <c r="C311" s="24" t="s">
        <v>153</v>
      </c>
      <c r="D311" s="25" t="s">
        <v>81</v>
      </c>
      <c r="E311" s="26">
        <f>F312</f>
        <v>15882</v>
      </c>
      <c r="F311" s="27">
        <f>F312</f>
        <v>15882</v>
      </c>
      <c r="G311" s="28">
        <f>G312</f>
        <v>15882</v>
      </c>
      <c r="H311" s="28">
        <f>H312</f>
        <v>15882</v>
      </c>
      <c r="I311" s="28">
        <f t="shared" si="224"/>
        <v>0</v>
      </c>
      <c r="J311" s="27">
        <f>J312</f>
        <v>0</v>
      </c>
      <c r="K311" s="27">
        <f t="shared" ref="K311:Q311" si="230">K312</f>
        <v>0</v>
      </c>
      <c r="L311" s="27">
        <f t="shared" si="230"/>
        <v>0</v>
      </c>
      <c r="M311" s="27">
        <f t="shared" si="230"/>
        <v>0</v>
      </c>
      <c r="N311" s="85">
        <f t="shared" si="230"/>
        <v>0</v>
      </c>
      <c r="O311" s="85">
        <f t="shared" si="230"/>
        <v>0</v>
      </c>
      <c r="P311" s="85">
        <f t="shared" si="230"/>
        <v>0</v>
      </c>
      <c r="Q311" s="85">
        <f t="shared" si="230"/>
        <v>0</v>
      </c>
      <c r="R311" s="118">
        <f t="shared" si="219"/>
        <v>0</v>
      </c>
      <c r="S311" s="85">
        <f>S312</f>
        <v>0</v>
      </c>
      <c r="T311" s="85">
        <f t="shared" ref="T311:AC311" si="231">T312</f>
        <v>0</v>
      </c>
      <c r="U311" s="85">
        <f t="shared" si="231"/>
        <v>0</v>
      </c>
      <c r="V311" s="85">
        <f t="shared" si="231"/>
        <v>0</v>
      </c>
      <c r="W311" s="85">
        <f t="shared" si="231"/>
        <v>0</v>
      </c>
      <c r="X311" s="85">
        <f t="shared" si="231"/>
        <v>0</v>
      </c>
      <c r="Y311" s="85">
        <f t="shared" si="231"/>
        <v>0</v>
      </c>
      <c r="Z311" s="85">
        <f t="shared" si="231"/>
        <v>0</v>
      </c>
      <c r="AA311" s="85">
        <f t="shared" si="231"/>
        <v>0</v>
      </c>
      <c r="AB311" s="85">
        <f t="shared" si="231"/>
        <v>0</v>
      </c>
      <c r="AC311" s="150">
        <f t="shared" si="231"/>
        <v>0</v>
      </c>
      <c r="AD311" s="146">
        <f t="shared" si="227"/>
        <v>0</v>
      </c>
    </row>
    <row r="312" spans="1:30">
      <c r="A312" s="40"/>
      <c r="B312" s="10" t="s">
        <v>31</v>
      </c>
      <c r="C312" s="30"/>
      <c r="D312" s="31"/>
      <c r="E312" s="32"/>
      <c r="F312" s="33">
        <f>H312+I312+AD312</f>
        <v>15882</v>
      </c>
      <c r="G312" s="34">
        <v>15882</v>
      </c>
      <c r="H312" s="33">
        <v>15882</v>
      </c>
      <c r="I312" s="33">
        <f t="shared" si="224"/>
        <v>0</v>
      </c>
      <c r="J312" s="33">
        <v>0</v>
      </c>
      <c r="K312" s="33">
        <v>0</v>
      </c>
      <c r="L312" s="33">
        <v>0</v>
      </c>
      <c r="M312" s="33">
        <v>0</v>
      </c>
      <c r="N312" s="87">
        <v>0</v>
      </c>
      <c r="O312" s="87">
        <v>0</v>
      </c>
      <c r="P312" s="87">
        <v>0</v>
      </c>
      <c r="Q312" s="87">
        <v>0</v>
      </c>
      <c r="R312" s="119">
        <f t="shared" si="219"/>
        <v>0</v>
      </c>
      <c r="S312" s="87">
        <v>0</v>
      </c>
      <c r="T312" s="87">
        <v>0</v>
      </c>
      <c r="U312" s="87">
        <v>0</v>
      </c>
      <c r="V312" s="87">
        <v>0</v>
      </c>
      <c r="W312" s="87">
        <v>0</v>
      </c>
      <c r="X312" s="87">
        <v>0</v>
      </c>
      <c r="Y312" s="87">
        <v>0</v>
      </c>
      <c r="Z312" s="87">
        <v>0</v>
      </c>
      <c r="AA312" s="87">
        <v>0</v>
      </c>
      <c r="AB312" s="87">
        <v>0</v>
      </c>
      <c r="AC312" s="161">
        <v>0</v>
      </c>
      <c r="AD312" s="148">
        <f t="shared" si="227"/>
        <v>0</v>
      </c>
    </row>
    <row r="313" spans="1:30" ht="33.75">
      <c r="A313" s="20">
        <v>103</v>
      </c>
      <c r="B313" s="23" t="s">
        <v>197</v>
      </c>
      <c r="C313" s="24" t="s">
        <v>337</v>
      </c>
      <c r="D313" s="47" t="s">
        <v>102</v>
      </c>
      <c r="E313" s="26">
        <f>F314</f>
        <v>2573.5719999999997</v>
      </c>
      <c r="F313" s="27">
        <f>F314+F315</f>
        <v>4277.7419999999993</v>
      </c>
      <c r="G313" s="27">
        <f>G314+G315</f>
        <v>0</v>
      </c>
      <c r="H313" s="27">
        <f>H314+H315</f>
        <v>0</v>
      </c>
      <c r="I313" s="28">
        <f t="shared" si="224"/>
        <v>4277.7420000000002</v>
      </c>
      <c r="J313" s="27">
        <f t="shared" ref="J313:AD313" si="232">J314+J315</f>
        <v>0</v>
      </c>
      <c r="K313" s="27">
        <f t="shared" si="232"/>
        <v>0</v>
      </c>
      <c r="L313" s="27">
        <f t="shared" si="232"/>
        <v>0</v>
      </c>
      <c r="M313" s="27">
        <f t="shared" si="232"/>
        <v>1199.8389999999999</v>
      </c>
      <c r="N313" s="85">
        <f t="shared" si="232"/>
        <v>1430.5549999999998</v>
      </c>
      <c r="O313" s="85">
        <f t="shared" si="232"/>
        <v>1647.348</v>
      </c>
      <c r="P313" s="85">
        <f t="shared" si="232"/>
        <v>0</v>
      </c>
      <c r="Q313" s="85">
        <f t="shared" si="232"/>
        <v>0</v>
      </c>
      <c r="R313" s="118">
        <f t="shared" si="232"/>
        <v>0</v>
      </c>
      <c r="S313" s="85">
        <f t="shared" si="232"/>
        <v>0</v>
      </c>
      <c r="T313" s="85">
        <f t="shared" si="232"/>
        <v>0</v>
      </c>
      <c r="U313" s="85">
        <f t="shared" si="232"/>
        <v>0</v>
      </c>
      <c r="V313" s="85">
        <f t="shared" si="232"/>
        <v>0</v>
      </c>
      <c r="W313" s="85">
        <f t="shared" si="232"/>
        <v>0</v>
      </c>
      <c r="X313" s="85">
        <f t="shared" si="232"/>
        <v>0</v>
      </c>
      <c r="Y313" s="85">
        <f t="shared" si="232"/>
        <v>0</v>
      </c>
      <c r="Z313" s="85">
        <f t="shared" si="232"/>
        <v>0</v>
      </c>
      <c r="AA313" s="85">
        <f t="shared" si="232"/>
        <v>0</v>
      </c>
      <c r="AB313" s="85">
        <f t="shared" si="232"/>
        <v>0</v>
      </c>
      <c r="AC313" s="150">
        <f t="shared" si="232"/>
        <v>0</v>
      </c>
      <c r="AD313" s="146">
        <f t="shared" si="232"/>
        <v>0</v>
      </c>
    </row>
    <row r="314" spans="1:30">
      <c r="A314" s="29"/>
      <c r="B314" s="10" t="s">
        <v>31</v>
      </c>
      <c r="C314" s="33"/>
      <c r="D314" s="33"/>
      <c r="E314" s="33"/>
      <c r="F314" s="33">
        <f>H314+I314+AD314</f>
        <v>2573.5719999999997</v>
      </c>
      <c r="G314" s="33">
        <v>0</v>
      </c>
      <c r="H314" s="33">
        <v>0</v>
      </c>
      <c r="I314" s="33">
        <f t="shared" si="224"/>
        <v>2573.5719999999997</v>
      </c>
      <c r="J314" s="11">
        <v>0</v>
      </c>
      <c r="K314" s="11">
        <v>0</v>
      </c>
      <c r="L314" s="42">
        <v>0</v>
      </c>
      <c r="M314" s="46">
        <f>787.971-77</f>
        <v>710.971</v>
      </c>
      <c r="N314" s="94">
        <v>581.40499999999986</v>
      </c>
      <c r="O314" s="94">
        <f>686.342+594.854</f>
        <v>1281.1959999999999</v>
      </c>
      <c r="P314" s="91">
        <v>0</v>
      </c>
      <c r="Q314" s="91">
        <v>0</v>
      </c>
      <c r="R314" s="119">
        <f t="shared" ref="R314:R337" si="233">SUM(S314:AC314)</f>
        <v>0</v>
      </c>
      <c r="S314" s="91">
        <v>0</v>
      </c>
      <c r="T314" s="91">
        <v>0</v>
      </c>
      <c r="U314" s="91">
        <v>0</v>
      </c>
      <c r="V314" s="91">
        <v>0</v>
      </c>
      <c r="W314" s="91">
        <v>0</v>
      </c>
      <c r="X314" s="91">
        <v>0</v>
      </c>
      <c r="Y314" s="91">
        <v>0</v>
      </c>
      <c r="Z314" s="91">
        <v>0</v>
      </c>
      <c r="AA314" s="91">
        <v>0</v>
      </c>
      <c r="AB314" s="91">
        <v>0</v>
      </c>
      <c r="AC314" s="163">
        <v>0</v>
      </c>
      <c r="AD314" s="148">
        <f t="shared" si="227"/>
        <v>0</v>
      </c>
    </row>
    <row r="315" spans="1:30">
      <c r="A315" s="29"/>
      <c r="B315" s="38" t="s">
        <v>41</v>
      </c>
      <c r="C315" s="33"/>
      <c r="D315" s="33"/>
      <c r="E315" s="33"/>
      <c r="F315" s="33">
        <f>H315+I315+AD315</f>
        <v>1704.1699999999998</v>
      </c>
      <c r="G315" s="33">
        <v>0</v>
      </c>
      <c r="H315" s="33">
        <v>0</v>
      </c>
      <c r="I315" s="33">
        <f t="shared" si="224"/>
        <v>1704.1699999999998</v>
      </c>
      <c r="J315" s="11">
        <v>0</v>
      </c>
      <c r="K315" s="11">
        <v>0</v>
      </c>
      <c r="L315" s="42">
        <v>0</v>
      </c>
      <c r="M315" s="46">
        <v>488.86799999999999</v>
      </c>
      <c r="N315" s="94">
        <v>849.14999999999986</v>
      </c>
      <c r="O315" s="94">
        <v>366.15199999999999</v>
      </c>
      <c r="P315" s="91">
        <v>0</v>
      </c>
      <c r="Q315" s="91">
        <v>0</v>
      </c>
      <c r="R315" s="119">
        <f t="shared" si="233"/>
        <v>0</v>
      </c>
      <c r="S315" s="91">
        <v>0</v>
      </c>
      <c r="T315" s="91">
        <v>0</v>
      </c>
      <c r="U315" s="91">
        <v>0</v>
      </c>
      <c r="V315" s="91">
        <v>0</v>
      </c>
      <c r="W315" s="91">
        <v>0</v>
      </c>
      <c r="X315" s="91">
        <v>0</v>
      </c>
      <c r="Y315" s="91">
        <v>0</v>
      </c>
      <c r="Z315" s="91">
        <v>0</v>
      </c>
      <c r="AA315" s="91">
        <v>0</v>
      </c>
      <c r="AB315" s="91">
        <v>0</v>
      </c>
      <c r="AC315" s="163">
        <v>0</v>
      </c>
      <c r="AD315" s="148">
        <f t="shared" si="227"/>
        <v>0</v>
      </c>
    </row>
    <row r="316" spans="1:30" ht="48.75">
      <c r="A316" s="20">
        <v>104</v>
      </c>
      <c r="B316" s="23" t="s">
        <v>198</v>
      </c>
      <c r="C316" s="24" t="s">
        <v>361</v>
      </c>
      <c r="D316" s="47" t="s">
        <v>99</v>
      </c>
      <c r="E316" s="26">
        <f>F317</f>
        <v>1570.4920000000002</v>
      </c>
      <c r="F316" s="27">
        <f>F317+F318</f>
        <v>3475.2520000000004</v>
      </c>
      <c r="G316" s="27">
        <f>G317+G318</f>
        <v>0</v>
      </c>
      <c r="H316" s="27">
        <f>H317+H318</f>
        <v>0</v>
      </c>
      <c r="I316" s="28">
        <f t="shared" si="224"/>
        <v>3475.252</v>
      </c>
      <c r="J316" s="27">
        <f t="shared" ref="J316:Q316" si="234">J317+J318</f>
        <v>0</v>
      </c>
      <c r="K316" s="27">
        <f t="shared" si="234"/>
        <v>0</v>
      </c>
      <c r="L316" s="27">
        <f t="shared" si="234"/>
        <v>0.995</v>
      </c>
      <c r="M316" s="27">
        <f t="shared" si="234"/>
        <v>1966.1379999999999</v>
      </c>
      <c r="N316" s="85">
        <f t="shared" si="234"/>
        <v>1508.1190000000001</v>
      </c>
      <c r="O316" s="85">
        <f t="shared" si="234"/>
        <v>0</v>
      </c>
      <c r="P316" s="85">
        <f t="shared" si="234"/>
        <v>0</v>
      </c>
      <c r="Q316" s="85">
        <f t="shared" si="234"/>
        <v>0</v>
      </c>
      <c r="R316" s="118">
        <f t="shared" si="233"/>
        <v>0</v>
      </c>
      <c r="S316" s="85">
        <f>S317+S318</f>
        <v>0</v>
      </c>
      <c r="T316" s="85">
        <f t="shared" ref="T316:AC316" si="235">T317+T318</f>
        <v>0</v>
      </c>
      <c r="U316" s="85">
        <f t="shared" si="235"/>
        <v>0</v>
      </c>
      <c r="V316" s="85">
        <f t="shared" si="235"/>
        <v>0</v>
      </c>
      <c r="W316" s="85">
        <f t="shared" si="235"/>
        <v>0</v>
      </c>
      <c r="X316" s="85">
        <f t="shared" si="235"/>
        <v>0</v>
      </c>
      <c r="Y316" s="85">
        <f t="shared" si="235"/>
        <v>0</v>
      </c>
      <c r="Z316" s="85">
        <f t="shared" si="235"/>
        <v>0</v>
      </c>
      <c r="AA316" s="85">
        <f t="shared" si="235"/>
        <v>0</v>
      </c>
      <c r="AB316" s="85">
        <f t="shared" si="235"/>
        <v>0</v>
      </c>
      <c r="AC316" s="150">
        <f t="shared" si="235"/>
        <v>0</v>
      </c>
      <c r="AD316" s="146">
        <f t="shared" si="227"/>
        <v>0</v>
      </c>
    </row>
    <row r="317" spans="1:30">
      <c r="A317" s="29"/>
      <c r="B317" s="10" t="s">
        <v>31</v>
      </c>
      <c r="C317" s="33"/>
      <c r="D317" s="33"/>
      <c r="E317" s="33"/>
      <c r="F317" s="33">
        <f>H317+I317+AD317</f>
        <v>1570.4920000000002</v>
      </c>
      <c r="G317" s="33">
        <v>0</v>
      </c>
      <c r="H317" s="33">
        <v>0</v>
      </c>
      <c r="I317" s="33">
        <f t="shared" si="224"/>
        <v>1570.4920000000002</v>
      </c>
      <c r="J317" s="11">
        <v>0</v>
      </c>
      <c r="K317" s="11">
        <v>0</v>
      </c>
      <c r="L317" s="12">
        <v>0.995</v>
      </c>
      <c r="M317" s="46">
        <v>885.74599999999998</v>
      </c>
      <c r="N317" s="94">
        <v>683.75100000000009</v>
      </c>
      <c r="O317" s="90">
        <v>0</v>
      </c>
      <c r="P317" s="91">
        <v>0</v>
      </c>
      <c r="Q317" s="91">
        <v>0</v>
      </c>
      <c r="R317" s="119">
        <f t="shared" si="233"/>
        <v>0</v>
      </c>
      <c r="S317" s="91">
        <v>0</v>
      </c>
      <c r="T317" s="91">
        <v>0</v>
      </c>
      <c r="U317" s="91">
        <v>0</v>
      </c>
      <c r="V317" s="91">
        <v>0</v>
      </c>
      <c r="W317" s="91">
        <v>0</v>
      </c>
      <c r="X317" s="91">
        <v>0</v>
      </c>
      <c r="Y317" s="91">
        <v>0</v>
      </c>
      <c r="Z317" s="91">
        <v>0</v>
      </c>
      <c r="AA317" s="91">
        <v>0</v>
      </c>
      <c r="AB317" s="91">
        <v>0</v>
      </c>
      <c r="AC317" s="163">
        <v>0</v>
      </c>
      <c r="AD317" s="148">
        <f t="shared" si="227"/>
        <v>0</v>
      </c>
    </row>
    <row r="318" spans="1:30">
      <c r="A318" s="29"/>
      <c r="B318" s="38" t="s">
        <v>41</v>
      </c>
      <c r="C318" s="33"/>
      <c r="D318" s="33"/>
      <c r="E318" s="33"/>
      <c r="F318" s="33">
        <f>H318+I318+AD318</f>
        <v>1904.7600000000002</v>
      </c>
      <c r="G318" s="33">
        <v>0</v>
      </c>
      <c r="H318" s="33">
        <v>0</v>
      </c>
      <c r="I318" s="33">
        <f t="shared" si="224"/>
        <v>1904.7600000000002</v>
      </c>
      <c r="J318" s="11">
        <v>0</v>
      </c>
      <c r="K318" s="11">
        <v>0</v>
      </c>
      <c r="L318" s="12">
        <v>0</v>
      </c>
      <c r="M318" s="46">
        <v>1080.3920000000001</v>
      </c>
      <c r="N318" s="94">
        <v>824.36800000000005</v>
      </c>
      <c r="O318" s="90">
        <v>0</v>
      </c>
      <c r="P318" s="91">
        <v>0</v>
      </c>
      <c r="Q318" s="91">
        <v>0</v>
      </c>
      <c r="R318" s="119">
        <f t="shared" si="233"/>
        <v>0</v>
      </c>
      <c r="S318" s="91">
        <v>0</v>
      </c>
      <c r="T318" s="91">
        <v>0</v>
      </c>
      <c r="U318" s="91">
        <v>0</v>
      </c>
      <c r="V318" s="91">
        <v>0</v>
      </c>
      <c r="W318" s="91">
        <v>0</v>
      </c>
      <c r="X318" s="91">
        <v>0</v>
      </c>
      <c r="Y318" s="91">
        <v>0</v>
      </c>
      <c r="Z318" s="91">
        <v>0</v>
      </c>
      <c r="AA318" s="91">
        <v>0</v>
      </c>
      <c r="AB318" s="91">
        <v>0</v>
      </c>
      <c r="AC318" s="163">
        <v>0</v>
      </c>
      <c r="AD318" s="148">
        <f t="shared" si="227"/>
        <v>0</v>
      </c>
    </row>
    <row r="319" spans="1:30" ht="29.25">
      <c r="A319" s="20">
        <v>105</v>
      </c>
      <c r="B319" s="23" t="s">
        <v>199</v>
      </c>
      <c r="C319" s="24" t="s">
        <v>200</v>
      </c>
      <c r="D319" s="47" t="s">
        <v>101</v>
      </c>
      <c r="E319" s="26">
        <f>F320</f>
        <v>80.061999999999998</v>
      </c>
      <c r="F319" s="27">
        <f>F320+F321</f>
        <v>533.74400000000003</v>
      </c>
      <c r="G319" s="27">
        <f>G320+G321</f>
        <v>0</v>
      </c>
      <c r="H319" s="27">
        <f>H320+H321</f>
        <v>0</v>
      </c>
      <c r="I319" s="28">
        <f t="shared" si="224"/>
        <v>533.74400000000003</v>
      </c>
      <c r="J319" s="27">
        <f t="shared" ref="J319:Q319" si="236">J320+J321</f>
        <v>0</v>
      </c>
      <c r="K319" s="27">
        <f t="shared" si="236"/>
        <v>0</v>
      </c>
      <c r="L319" s="27">
        <f t="shared" si="236"/>
        <v>170.99</v>
      </c>
      <c r="M319" s="28">
        <f t="shared" si="236"/>
        <v>165.07599999999999</v>
      </c>
      <c r="N319" s="85">
        <f t="shared" si="236"/>
        <v>197.678</v>
      </c>
      <c r="O319" s="85">
        <f t="shared" si="236"/>
        <v>0</v>
      </c>
      <c r="P319" s="85">
        <f t="shared" si="236"/>
        <v>0</v>
      </c>
      <c r="Q319" s="85">
        <f t="shared" si="236"/>
        <v>0</v>
      </c>
      <c r="R319" s="118">
        <f t="shared" si="233"/>
        <v>0</v>
      </c>
      <c r="S319" s="85">
        <f>S320+S321</f>
        <v>0</v>
      </c>
      <c r="T319" s="85">
        <f t="shared" ref="T319:AC319" si="237">T320+T321</f>
        <v>0</v>
      </c>
      <c r="U319" s="85">
        <f t="shared" si="237"/>
        <v>0</v>
      </c>
      <c r="V319" s="85">
        <f t="shared" si="237"/>
        <v>0</v>
      </c>
      <c r="W319" s="85">
        <f t="shared" si="237"/>
        <v>0</v>
      </c>
      <c r="X319" s="85">
        <f t="shared" si="237"/>
        <v>0</v>
      </c>
      <c r="Y319" s="85">
        <f t="shared" si="237"/>
        <v>0</v>
      </c>
      <c r="Z319" s="85">
        <f t="shared" si="237"/>
        <v>0</v>
      </c>
      <c r="AA319" s="85">
        <f t="shared" si="237"/>
        <v>0</v>
      </c>
      <c r="AB319" s="85">
        <f t="shared" si="237"/>
        <v>0</v>
      </c>
      <c r="AC319" s="150">
        <f t="shared" si="237"/>
        <v>0</v>
      </c>
      <c r="AD319" s="146">
        <f t="shared" si="227"/>
        <v>0</v>
      </c>
    </row>
    <row r="320" spans="1:30">
      <c r="A320" s="29"/>
      <c r="B320" s="10" t="s">
        <v>31</v>
      </c>
      <c r="C320" s="33"/>
      <c r="D320" s="33"/>
      <c r="E320" s="33"/>
      <c r="F320" s="33">
        <f>H320+I320+AD320</f>
        <v>80.061999999999998</v>
      </c>
      <c r="G320" s="33">
        <v>0</v>
      </c>
      <c r="H320" s="33">
        <v>0</v>
      </c>
      <c r="I320" s="33">
        <f t="shared" si="224"/>
        <v>80.061999999999998</v>
      </c>
      <c r="J320" s="11">
        <v>0</v>
      </c>
      <c r="K320" s="11">
        <v>0</v>
      </c>
      <c r="L320" s="12">
        <v>25.648</v>
      </c>
      <c r="M320" s="42">
        <v>24.762</v>
      </c>
      <c r="N320" s="90">
        <v>29.652000000000001</v>
      </c>
      <c r="O320" s="90">
        <v>0</v>
      </c>
      <c r="P320" s="91">
        <v>0</v>
      </c>
      <c r="Q320" s="91">
        <v>0</v>
      </c>
      <c r="R320" s="119">
        <f t="shared" si="233"/>
        <v>0</v>
      </c>
      <c r="S320" s="91">
        <v>0</v>
      </c>
      <c r="T320" s="91">
        <v>0</v>
      </c>
      <c r="U320" s="91">
        <v>0</v>
      </c>
      <c r="V320" s="91">
        <v>0</v>
      </c>
      <c r="W320" s="91">
        <v>0</v>
      </c>
      <c r="X320" s="91">
        <v>0</v>
      </c>
      <c r="Y320" s="91">
        <v>0</v>
      </c>
      <c r="Z320" s="91">
        <v>0</v>
      </c>
      <c r="AA320" s="91">
        <v>0</v>
      </c>
      <c r="AB320" s="91">
        <v>0</v>
      </c>
      <c r="AC320" s="163">
        <v>0</v>
      </c>
      <c r="AD320" s="148">
        <f t="shared" si="227"/>
        <v>0</v>
      </c>
    </row>
    <row r="321" spans="1:30">
      <c r="A321" s="29"/>
      <c r="B321" s="38" t="s">
        <v>41</v>
      </c>
      <c r="C321" s="33"/>
      <c r="D321" s="33"/>
      <c r="E321" s="33"/>
      <c r="F321" s="33">
        <f>H321+I321+AD321</f>
        <v>453.68200000000002</v>
      </c>
      <c r="G321" s="33">
        <v>0</v>
      </c>
      <c r="H321" s="33">
        <v>0</v>
      </c>
      <c r="I321" s="33">
        <f t="shared" si="224"/>
        <v>453.68200000000002</v>
      </c>
      <c r="J321" s="11">
        <v>0</v>
      </c>
      <c r="K321" s="11">
        <v>0</v>
      </c>
      <c r="L321" s="12">
        <v>145.34200000000001</v>
      </c>
      <c r="M321" s="12">
        <v>140.31399999999999</v>
      </c>
      <c r="N321" s="90">
        <v>168.02600000000001</v>
      </c>
      <c r="O321" s="90">
        <v>0</v>
      </c>
      <c r="P321" s="91">
        <v>0</v>
      </c>
      <c r="Q321" s="91">
        <v>0</v>
      </c>
      <c r="R321" s="119">
        <f t="shared" si="233"/>
        <v>0</v>
      </c>
      <c r="S321" s="91">
        <v>0</v>
      </c>
      <c r="T321" s="91">
        <v>0</v>
      </c>
      <c r="U321" s="91">
        <v>0</v>
      </c>
      <c r="V321" s="91">
        <v>0</v>
      </c>
      <c r="W321" s="91">
        <v>0</v>
      </c>
      <c r="X321" s="91">
        <v>0</v>
      </c>
      <c r="Y321" s="91">
        <v>0</v>
      </c>
      <c r="Z321" s="91">
        <v>0</v>
      </c>
      <c r="AA321" s="91">
        <v>0</v>
      </c>
      <c r="AB321" s="91">
        <v>0</v>
      </c>
      <c r="AC321" s="163">
        <v>0</v>
      </c>
      <c r="AD321" s="148">
        <f t="shared" si="227"/>
        <v>0</v>
      </c>
    </row>
    <row r="322" spans="1:30" ht="33.75">
      <c r="A322" s="20">
        <v>106</v>
      </c>
      <c r="B322" s="23" t="s">
        <v>340</v>
      </c>
      <c r="C322" s="24" t="s">
        <v>341</v>
      </c>
      <c r="D322" s="47">
        <v>2018</v>
      </c>
      <c r="E322" s="26">
        <f>F323</f>
        <v>0</v>
      </c>
      <c r="F322" s="27">
        <f>F323+F324</f>
        <v>0</v>
      </c>
      <c r="G322" s="27">
        <f>G323+G324</f>
        <v>0</v>
      </c>
      <c r="H322" s="27">
        <f>H323+H324</f>
        <v>0</v>
      </c>
      <c r="I322" s="28">
        <f>SUM(K322:O322)</f>
        <v>0</v>
      </c>
      <c r="J322" s="27">
        <f t="shared" ref="J322:Q322" si="238">J323+J324</f>
        <v>0</v>
      </c>
      <c r="K322" s="27">
        <f t="shared" si="238"/>
        <v>0</v>
      </c>
      <c r="L322" s="27">
        <f t="shared" si="238"/>
        <v>0</v>
      </c>
      <c r="M322" s="28">
        <f t="shared" si="238"/>
        <v>0</v>
      </c>
      <c r="N322" s="85">
        <f t="shared" si="238"/>
        <v>0</v>
      </c>
      <c r="O322" s="85">
        <f t="shared" si="238"/>
        <v>0</v>
      </c>
      <c r="P322" s="85">
        <f t="shared" si="238"/>
        <v>0</v>
      </c>
      <c r="Q322" s="85">
        <f t="shared" si="238"/>
        <v>0</v>
      </c>
      <c r="R322" s="118">
        <f>SUM(S322:AC322)</f>
        <v>0</v>
      </c>
      <c r="S322" s="85">
        <f>S323+S324</f>
        <v>0</v>
      </c>
      <c r="T322" s="85">
        <f t="shared" ref="T322:AC322" si="239">T323+T324</f>
        <v>0</v>
      </c>
      <c r="U322" s="85">
        <f t="shared" si="239"/>
        <v>0</v>
      </c>
      <c r="V322" s="85">
        <f t="shared" si="239"/>
        <v>0</v>
      </c>
      <c r="W322" s="85">
        <f t="shared" si="239"/>
        <v>0</v>
      </c>
      <c r="X322" s="85">
        <f t="shared" si="239"/>
        <v>0</v>
      </c>
      <c r="Y322" s="85">
        <f t="shared" si="239"/>
        <v>0</v>
      </c>
      <c r="Z322" s="85">
        <f t="shared" si="239"/>
        <v>0</v>
      </c>
      <c r="AA322" s="85">
        <f t="shared" si="239"/>
        <v>0</v>
      </c>
      <c r="AB322" s="85">
        <f t="shared" si="239"/>
        <v>0</v>
      </c>
      <c r="AC322" s="150">
        <f t="shared" si="239"/>
        <v>0</v>
      </c>
      <c r="AD322" s="146">
        <f t="shared" si="227"/>
        <v>0</v>
      </c>
    </row>
    <row r="323" spans="1:30">
      <c r="A323" s="29"/>
      <c r="B323" s="10" t="s">
        <v>31</v>
      </c>
      <c r="C323" s="33"/>
      <c r="D323" s="33"/>
      <c r="E323" s="33"/>
      <c r="F323" s="33">
        <f>H323+I323+AD323</f>
        <v>0</v>
      </c>
      <c r="G323" s="33">
        <v>0</v>
      </c>
      <c r="H323" s="33">
        <v>0</v>
      </c>
      <c r="I323" s="33">
        <f>SUM(K323:O323)</f>
        <v>0</v>
      </c>
      <c r="J323" s="11">
        <v>0</v>
      </c>
      <c r="K323" s="11">
        <v>0</v>
      </c>
      <c r="L323" s="12">
        <v>0</v>
      </c>
      <c r="M323" s="42">
        <v>0</v>
      </c>
      <c r="N323" s="90">
        <v>0</v>
      </c>
      <c r="O323" s="90">
        <v>0</v>
      </c>
      <c r="P323" s="91">
        <v>0</v>
      </c>
      <c r="Q323" s="91">
        <v>0</v>
      </c>
      <c r="R323" s="119">
        <f>SUM(S323:AC323)</f>
        <v>0</v>
      </c>
      <c r="S323" s="91">
        <v>0</v>
      </c>
      <c r="T323" s="91">
        <v>0</v>
      </c>
      <c r="U323" s="91">
        <v>0</v>
      </c>
      <c r="V323" s="91">
        <v>0</v>
      </c>
      <c r="W323" s="91">
        <v>0</v>
      </c>
      <c r="X323" s="91">
        <v>0</v>
      </c>
      <c r="Y323" s="91">
        <v>0</v>
      </c>
      <c r="Z323" s="91">
        <v>0</v>
      </c>
      <c r="AA323" s="91">
        <v>0</v>
      </c>
      <c r="AB323" s="91">
        <v>0</v>
      </c>
      <c r="AC323" s="163">
        <v>0</v>
      </c>
      <c r="AD323" s="148">
        <f t="shared" si="227"/>
        <v>0</v>
      </c>
    </row>
    <row r="324" spans="1:30">
      <c r="A324" s="29"/>
      <c r="B324" s="38" t="s">
        <v>41</v>
      </c>
      <c r="C324" s="33"/>
      <c r="D324" s="33"/>
      <c r="E324" s="33"/>
      <c r="F324" s="33">
        <f>H324+I324+AD324</f>
        <v>0</v>
      </c>
      <c r="G324" s="33">
        <v>0</v>
      </c>
      <c r="H324" s="33">
        <v>0</v>
      </c>
      <c r="I324" s="33">
        <f>SUM(K324:O324)</f>
        <v>0</v>
      </c>
      <c r="J324" s="11">
        <v>0</v>
      </c>
      <c r="K324" s="11">
        <v>0</v>
      </c>
      <c r="L324" s="12">
        <v>0</v>
      </c>
      <c r="M324" s="12">
        <v>0</v>
      </c>
      <c r="N324" s="90">
        <v>0</v>
      </c>
      <c r="O324" s="90">
        <v>0</v>
      </c>
      <c r="P324" s="91">
        <v>0</v>
      </c>
      <c r="Q324" s="91">
        <v>0</v>
      </c>
      <c r="R324" s="119">
        <f>SUM(S324:AC324)</f>
        <v>0</v>
      </c>
      <c r="S324" s="91">
        <v>0</v>
      </c>
      <c r="T324" s="91">
        <v>0</v>
      </c>
      <c r="U324" s="91">
        <v>0</v>
      </c>
      <c r="V324" s="91">
        <v>0</v>
      </c>
      <c r="W324" s="91">
        <v>0</v>
      </c>
      <c r="X324" s="91">
        <v>0</v>
      </c>
      <c r="Y324" s="91">
        <v>0</v>
      </c>
      <c r="Z324" s="91">
        <v>0</v>
      </c>
      <c r="AA324" s="91">
        <v>0</v>
      </c>
      <c r="AB324" s="91">
        <v>0</v>
      </c>
      <c r="AC324" s="163">
        <v>0</v>
      </c>
      <c r="AD324" s="148">
        <f t="shared" si="227"/>
        <v>0</v>
      </c>
    </row>
    <row r="325" spans="1:30" ht="33.75">
      <c r="A325" s="20">
        <v>107</v>
      </c>
      <c r="B325" s="23" t="s">
        <v>201</v>
      </c>
      <c r="C325" s="24" t="s">
        <v>202</v>
      </c>
      <c r="D325" s="47" t="s">
        <v>101</v>
      </c>
      <c r="E325" s="26">
        <f>F326</f>
        <v>750.74900000000002</v>
      </c>
      <c r="F325" s="27">
        <f>F326+F327</f>
        <v>3772.6000000000004</v>
      </c>
      <c r="G325" s="27">
        <f>G326+G327</f>
        <v>0</v>
      </c>
      <c r="H325" s="27">
        <f>H326+H327</f>
        <v>0</v>
      </c>
      <c r="I325" s="28">
        <f t="shared" si="224"/>
        <v>3772.6</v>
      </c>
      <c r="J325" s="27">
        <f t="shared" ref="J325:Q325" si="240">J326+J327</f>
        <v>0</v>
      </c>
      <c r="K325" s="27">
        <f t="shared" si="240"/>
        <v>0</v>
      </c>
      <c r="L325" s="27">
        <f t="shared" si="240"/>
        <v>0</v>
      </c>
      <c r="M325" s="27">
        <f t="shared" si="240"/>
        <v>20.470000000000002</v>
      </c>
      <c r="N325" s="85">
        <f t="shared" si="240"/>
        <v>3752.13</v>
      </c>
      <c r="O325" s="85">
        <f t="shared" si="240"/>
        <v>0</v>
      </c>
      <c r="P325" s="85">
        <f t="shared" si="240"/>
        <v>0</v>
      </c>
      <c r="Q325" s="85">
        <f t="shared" si="240"/>
        <v>0</v>
      </c>
      <c r="R325" s="118">
        <f t="shared" si="233"/>
        <v>0</v>
      </c>
      <c r="S325" s="85">
        <f>S326+S327</f>
        <v>0</v>
      </c>
      <c r="T325" s="85">
        <f t="shared" ref="T325:AC325" si="241">T326+T327</f>
        <v>0</v>
      </c>
      <c r="U325" s="85">
        <f t="shared" si="241"/>
        <v>0</v>
      </c>
      <c r="V325" s="85">
        <f t="shared" si="241"/>
        <v>0</v>
      </c>
      <c r="W325" s="85">
        <f t="shared" si="241"/>
        <v>0</v>
      </c>
      <c r="X325" s="85">
        <f t="shared" si="241"/>
        <v>0</v>
      </c>
      <c r="Y325" s="85">
        <f t="shared" si="241"/>
        <v>0</v>
      </c>
      <c r="Z325" s="85">
        <f t="shared" si="241"/>
        <v>0</v>
      </c>
      <c r="AA325" s="85">
        <f t="shared" si="241"/>
        <v>0</v>
      </c>
      <c r="AB325" s="85">
        <f t="shared" si="241"/>
        <v>0</v>
      </c>
      <c r="AC325" s="150">
        <f t="shared" si="241"/>
        <v>0</v>
      </c>
      <c r="AD325" s="146">
        <f t="shared" si="227"/>
        <v>0</v>
      </c>
    </row>
    <row r="326" spans="1:30">
      <c r="A326" s="29"/>
      <c r="B326" s="10" t="s">
        <v>31</v>
      </c>
      <c r="C326" s="33"/>
      <c r="D326" s="33"/>
      <c r="E326" s="33"/>
      <c r="F326" s="33">
        <f>H326+I326+AD326</f>
        <v>750.74900000000002</v>
      </c>
      <c r="G326" s="33">
        <v>0</v>
      </c>
      <c r="H326" s="33">
        <v>0</v>
      </c>
      <c r="I326" s="33">
        <f t="shared" si="224"/>
        <v>750.74900000000002</v>
      </c>
      <c r="J326" s="11">
        <v>0</v>
      </c>
      <c r="K326" s="11">
        <v>0</v>
      </c>
      <c r="L326" s="12">
        <v>0</v>
      </c>
      <c r="M326" s="12">
        <v>3.0710000000000002</v>
      </c>
      <c r="N326" s="90">
        <v>747.678</v>
      </c>
      <c r="O326" s="90">
        <v>0</v>
      </c>
      <c r="P326" s="91">
        <v>0</v>
      </c>
      <c r="Q326" s="91">
        <v>0</v>
      </c>
      <c r="R326" s="119">
        <f t="shared" si="233"/>
        <v>0</v>
      </c>
      <c r="S326" s="91">
        <v>0</v>
      </c>
      <c r="T326" s="91">
        <v>0</v>
      </c>
      <c r="U326" s="91">
        <v>0</v>
      </c>
      <c r="V326" s="91">
        <v>0</v>
      </c>
      <c r="W326" s="91">
        <v>0</v>
      </c>
      <c r="X326" s="91">
        <v>0</v>
      </c>
      <c r="Y326" s="91">
        <v>0</v>
      </c>
      <c r="Z326" s="91">
        <v>0</v>
      </c>
      <c r="AA326" s="91">
        <v>0</v>
      </c>
      <c r="AB326" s="91">
        <v>0</v>
      </c>
      <c r="AC326" s="163">
        <v>0</v>
      </c>
      <c r="AD326" s="152">
        <f t="shared" si="227"/>
        <v>0</v>
      </c>
    </row>
    <row r="327" spans="1:30">
      <c r="A327" s="29"/>
      <c r="B327" s="38" t="s">
        <v>41</v>
      </c>
      <c r="C327" s="33"/>
      <c r="D327" s="33"/>
      <c r="E327" s="33"/>
      <c r="F327" s="33">
        <f>H327+I327+AD327</f>
        <v>3021.8510000000001</v>
      </c>
      <c r="G327" s="33">
        <v>0</v>
      </c>
      <c r="H327" s="33">
        <v>0</v>
      </c>
      <c r="I327" s="33">
        <f t="shared" si="224"/>
        <v>3021.8510000000001</v>
      </c>
      <c r="J327" s="11">
        <v>0</v>
      </c>
      <c r="K327" s="11">
        <v>0</v>
      </c>
      <c r="L327" s="12">
        <v>0</v>
      </c>
      <c r="M327" s="12">
        <v>17.399000000000001</v>
      </c>
      <c r="N327" s="90">
        <v>3004.4520000000002</v>
      </c>
      <c r="O327" s="90">
        <v>0</v>
      </c>
      <c r="P327" s="91">
        <v>0</v>
      </c>
      <c r="Q327" s="91">
        <v>0</v>
      </c>
      <c r="R327" s="119">
        <f t="shared" si="233"/>
        <v>0</v>
      </c>
      <c r="S327" s="91">
        <v>0</v>
      </c>
      <c r="T327" s="91">
        <v>0</v>
      </c>
      <c r="U327" s="91">
        <v>0</v>
      </c>
      <c r="V327" s="91">
        <v>0</v>
      </c>
      <c r="W327" s="91">
        <v>0</v>
      </c>
      <c r="X327" s="91">
        <v>0</v>
      </c>
      <c r="Y327" s="91">
        <v>0</v>
      </c>
      <c r="Z327" s="91">
        <v>0</v>
      </c>
      <c r="AA327" s="91">
        <v>0</v>
      </c>
      <c r="AB327" s="91">
        <v>0</v>
      </c>
      <c r="AC327" s="163">
        <v>0</v>
      </c>
      <c r="AD327" s="152">
        <f t="shared" si="227"/>
        <v>0</v>
      </c>
    </row>
    <row r="328" spans="1:30" ht="30" customHeight="1">
      <c r="A328" s="20">
        <v>108</v>
      </c>
      <c r="B328" s="23" t="s">
        <v>402</v>
      </c>
      <c r="C328" s="24" t="s">
        <v>405</v>
      </c>
      <c r="D328" s="25" t="s">
        <v>372</v>
      </c>
      <c r="E328" s="26">
        <f>F329</f>
        <v>422.27600000000001</v>
      </c>
      <c r="F328" s="27">
        <f>F329+F330</f>
        <v>2815.1639999999998</v>
      </c>
      <c r="G328" s="27">
        <f>G329+G330</f>
        <v>0</v>
      </c>
      <c r="H328" s="27">
        <f>H329+H330</f>
        <v>0</v>
      </c>
      <c r="I328" s="28">
        <f t="shared" ref="I328:I335" si="242">SUM(K328:O328)</f>
        <v>224.77199999999999</v>
      </c>
      <c r="J328" s="27">
        <f t="shared" ref="J328:Q328" si="243">J329+J330</f>
        <v>0</v>
      </c>
      <c r="K328" s="27">
        <f t="shared" si="243"/>
        <v>0</v>
      </c>
      <c r="L328" s="27">
        <f t="shared" si="243"/>
        <v>0</v>
      </c>
      <c r="M328" s="27">
        <f t="shared" si="243"/>
        <v>0</v>
      </c>
      <c r="N328" s="85">
        <f t="shared" si="243"/>
        <v>0</v>
      </c>
      <c r="O328" s="85">
        <f t="shared" si="243"/>
        <v>224.77199999999999</v>
      </c>
      <c r="P328" s="85">
        <f t="shared" si="243"/>
        <v>600</v>
      </c>
      <c r="Q328" s="85">
        <f t="shared" si="243"/>
        <v>1990.3920000000001</v>
      </c>
      <c r="R328" s="118">
        <f t="shared" ref="R328:R335" si="244">SUM(S328:AC328)</f>
        <v>0</v>
      </c>
      <c r="S328" s="85">
        <f>S329+S330</f>
        <v>0</v>
      </c>
      <c r="T328" s="85">
        <f t="shared" ref="T328:AC328" si="245">T329+T330</f>
        <v>0</v>
      </c>
      <c r="U328" s="85">
        <f t="shared" si="245"/>
        <v>0</v>
      </c>
      <c r="V328" s="85">
        <f t="shared" si="245"/>
        <v>0</v>
      </c>
      <c r="W328" s="85">
        <f t="shared" si="245"/>
        <v>0</v>
      </c>
      <c r="X328" s="85">
        <f t="shared" si="245"/>
        <v>0</v>
      </c>
      <c r="Y328" s="85">
        <f t="shared" si="245"/>
        <v>0</v>
      </c>
      <c r="Z328" s="85">
        <f t="shared" si="245"/>
        <v>0</v>
      </c>
      <c r="AA328" s="85">
        <f t="shared" si="245"/>
        <v>0</v>
      </c>
      <c r="AB328" s="85">
        <f t="shared" si="245"/>
        <v>0</v>
      </c>
      <c r="AC328" s="150">
        <f t="shared" si="245"/>
        <v>0</v>
      </c>
      <c r="AD328" s="146">
        <f t="shared" si="227"/>
        <v>2590.3919999999998</v>
      </c>
    </row>
    <row r="329" spans="1:30">
      <c r="A329" s="40"/>
      <c r="B329" s="10" t="s">
        <v>31</v>
      </c>
      <c r="C329" s="30"/>
      <c r="D329" s="31"/>
      <c r="E329" s="32"/>
      <c r="F329" s="33">
        <f>H329+I329+AD329</f>
        <v>422.27600000000001</v>
      </c>
      <c r="G329" s="34">
        <v>0</v>
      </c>
      <c r="H329" s="33">
        <v>0</v>
      </c>
      <c r="I329" s="33">
        <f t="shared" si="242"/>
        <v>33.716999999999999</v>
      </c>
      <c r="J329" s="33">
        <v>0</v>
      </c>
      <c r="K329" s="33">
        <v>0</v>
      </c>
      <c r="L329" s="33">
        <v>0</v>
      </c>
      <c r="M329" s="35">
        <v>0</v>
      </c>
      <c r="N329" s="86">
        <v>0</v>
      </c>
      <c r="O329" s="89">
        <v>33.716999999999999</v>
      </c>
      <c r="P329" s="87">
        <v>90</v>
      </c>
      <c r="Q329" s="87">
        <v>298.55900000000003</v>
      </c>
      <c r="R329" s="119">
        <f t="shared" si="244"/>
        <v>0</v>
      </c>
      <c r="S329" s="87">
        <v>0</v>
      </c>
      <c r="T329" s="87">
        <v>0</v>
      </c>
      <c r="U329" s="87">
        <v>0</v>
      </c>
      <c r="V329" s="87">
        <v>0</v>
      </c>
      <c r="W329" s="87">
        <v>0</v>
      </c>
      <c r="X329" s="87">
        <v>0</v>
      </c>
      <c r="Y329" s="87">
        <v>0</v>
      </c>
      <c r="Z329" s="87">
        <v>0</v>
      </c>
      <c r="AA329" s="87">
        <v>0</v>
      </c>
      <c r="AB329" s="87">
        <v>0</v>
      </c>
      <c r="AC329" s="161">
        <v>0</v>
      </c>
      <c r="AD329" s="148">
        <f t="shared" si="227"/>
        <v>388.55900000000003</v>
      </c>
    </row>
    <row r="330" spans="1:30">
      <c r="A330" s="40"/>
      <c r="B330" s="38" t="s">
        <v>41</v>
      </c>
      <c r="C330" s="30"/>
      <c r="D330" s="31"/>
      <c r="E330" s="32"/>
      <c r="F330" s="33">
        <f>H330+I330+AD330</f>
        <v>2392.8879999999999</v>
      </c>
      <c r="G330" s="34">
        <v>0</v>
      </c>
      <c r="H330" s="33">
        <v>0</v>
      </c>
      <c r="I330" s="33">
        <f t="shared" si="242"/>
        <v>191.05500000000001</v>
      </c>
      <c r="J330" s="33">
        <v>0</v>
      </c>
      <c r="K330" s="33">
        <v>0</v>
      </c>
      <c r="L330" s="33">
        <v>0</v>
      </c>
      <c r="M330" s="33">
        <v>0</v>
      </c>
      <c r="N330" s="86">
        <v>0</v>
      </c>
      <c r="O330" s="89">
        <v>191.05500000000001</v>
      </c>
      <c r="P330" s="87">
        <v>510</v>
      </c>
      <c r="Q330" s="87">
        <v>1691.8330000000001</v>
      </c>
      <c r="R330" s="119">
        <f t="shared" si="244"/>
        <v>0</v>
      </c>
      <c r="S330" s="87">
        <v>0</v>
      </c>
      <c r="T330" s="87">
        <v>0</v>
      </c>
      <c r="U330" s="87">
        <v>0</v>
      </c>
      <c r="V330" s="87">
        <v>0</v>
      </c>
      <c r="W330" s="87">
        <v>0</v>
      </c>
      <c r="X330" s="87">
        <v>0</v>
      </c>
      <c r="Y330" s="87">
        <v>0</v>
      </c>
      <c r="Z330" s="87">
        <v>0</v>
      </c>
      <c r="AA330" s="87">
        <v>0</v>
      </c>
      <c r="AB330" s="87">
        <v>0</v>
      </c>
      <c r="AC330" s="161">
        <v>0</v>
      </c>
      <c r="AD330" s="148">
        <f t="shared" si="227"/>
        <v>2201.8330000000001</v>
      </c>
    </row>
    <row r="331" spans="1:30" ht="22.5">
      <c r="A331" s="20">
        <v>109</v>
      </c>
      <c r="B331" s="23" t="s">
        <v>403</v>
      </c>
      <c r="C331" s="24" t="s">
        <v>406</v>
      </c>
      <c r="D331" s="25" t="s">
        <v>404</v>
      </c>
      <c r="E331" s="26">
        <f>F332</f>
        <v>461.80599999999998</v>
      </c>
      <c r="F331" s="27">
        <f>F332+F333</f>
        <v>3078.7080000000001</v>
      </c>
      <c r="G331" s="27">
        <f>G332+G333</f>
        <v>0</v>
      </c>
      <c r="H331" s="27">
        <f>H332+H333</f>
        <v>0</v>
      </c>
      <c r="I331" s="28">
        <f t="shared" si="242"/>
        <v>0</v>
      </c>
      <c r="J331" s="27">
        <f t="shared" ref="J331:Q331" si="246">J332+J333</f>
        <v>0</v>
      </c>
      <c r="K331" s="27">
        <f t="shared" si="246"/>
        <v>0</v>
      </c>
      <c r="L331" s="27">
        <f t="shared" si="246"/>
        <v>0</v>
      </c>
      <c r="M331" s="27">
        <f t="shared" si="246"/>
        <v>0</v>
      </c>
      <c r="N331" s="85">
        <f t="shared" si="246"/>
        <v>0</v>
      </c>
      <c r="O331" s="85">
        <f t="shared" si="246"/>
        <v>0</v>
      </c>
      <c r="P331" s="85">
        <f t="shared" si="246"/>
        <v>3078.7080000000001</v>
      </c>
      <c r="Q331" s="85">
        <f t="shared" si="246"/>
        <v>0</v>
      </c>
      <c r="R331" s="118">
        <f t="shared" si="244"/>
        <v>0</v>
      </c>
      <c r="S331" s="85">
        <f>S332+S333</f>
        <v>0</v>
      </c>
      <c r="T331" s="85">
        <f t="shared" ref="T331:AC331" si="247">T332+T333</f>
        <v>0</v>
      </c>
      <c r="U331" s="85">
        <f t="shared" si="247"/>
        <v>0</v>
      </c>
      <c r="V331" s="85">
        <f t="shared" si="247"/>
        <v>0</v>
      </c>
      <c r="W331" s="85">
        <f t="shared" si="247"/>
        <v>0</v>
      </c>
      <c r="X331" s="85">
        <f t="shared" si="247"/>
        <v>0</v>
      </c>
      <c r="Y331" s="85">
        <f t="shared" si="247"/>
        <v>0</v>
      </c>
      <c r="Z331" s="85">
        <f t="shared" si="247"/>
        <v>0</v>
      </c>
      <c r="AA331" s="85">
        <f t="shared" si="247"/>
        <v>0</v>
      </c>
      <c r="AB331" s="85">
        <f t="shared" si="247"/>
        <v>0</v>
      </c>
      <c r="AC331" s="150">
        <f t="shared" si="247"/>
        <v>0</v>
      </c>
      <c r="AD331" s="146">
        <f t="shared" si="227"/>
        <v>3078.7080000000001</v>
      </c>
    </row>
    <row r="332" spans="1:30">
      <c r="A332" s="40"/>
      <c r="B332" s="10" t="s">
        <v>31</v>
      </c>
      <c r="C332" s="30"/>
      <c r="D332" s="31"/>
      <c r="E332" s="32"/>
      <c r="F332" s="33">
        <f>H332+I332+AD332</f>
        <v>461.80599999999998</v>
      </c>
      <c r="G332" s="34">
        <v>0</v>
      </c>
      <c r="H332" s="33">
        <v>0</v>
      </c>
      <c r="I332" s="33">
        <f t="shared" si="242"/>
        <v>0</v>
      </c>
      <c r="J332" s="33">
        <v>0</v>
      </c>
      <c r="K332" s="33">
        <v>0</v>
      </c>
      <c r="L332" s="33">
        <v>0</v>
      </c>
      <c r="M332" s="35">
        <v>0</v>
      </c>
      <c r="N332" s="86">
        <v>0</v>
      </c>
      <c r="O332" s="89">
        <v>0</v>
      </c>
      <c r="P332" s="87">
        <v>461.80599999999998</v>
      </c>
      <c r="Q332" s="87">
        <v>0</v>
      </c>
      <c r="R332" s="119">
        <f t="shared" si="244"/>
        <v>0</v>
      </c>
      <c r="S332" s="87">
        <v>0</v>
      </c>
      <c r="T332" s="87">
        <v>0</v>
      </c>
      <c r="U332" s="87">
        <v>0</v>
      </c>
      <c r="V332" s="87">
        <v>0</v>
      </c>
      <c r="W332" s="87">
        <v>0</v>
      </c>
      <c r="X332" s="87">
        <v>0</v>
      </c>
      <c r="Y332" s="87">
        <v>0</v>
      </c>
      <c r="Z332" s="87">
        <v>0</v>
      </c>
      <c r="AA332" s="87">
        <v>0</v>
      </c>
      <c r="AB332" s="87">
        <v>0</v>
      </c>
      <c r="AC332" s="161">
        <v>0</v>
      </c>
      <c r="AD332" s="148">
        <f t="shared" si="227"/>
        <v>461.80599999999998</v>
      </c>
    </row>
    <row r="333" spans="1:30">
      <c r="A333" s="40"/>
      <c r="B333" s="38" t="s">
        <v>41</v>
      </c>
      <c r="C333" s="30"/>
      <c r="D333" s="31"/>
      <c r="E333" s="32"/>
      <c r="F333" s="33">
        <f>H333+I333+AD333</f>
        <v>2616.902</v>
      </c>
      <c r="G333" s="34">
        <v>0</v>
      </c>
      <c r="H333" s="33">
        <v>0</v>
      </c>
      <c r="I333" s="33">
        <f t="shared" si="242"/>
        <v>0</v>
      </c>
      <c r="J333" s="33">
        <v>0</v>
      </c>
      <c r="K333" s="33">
        <v>0</v>
      </c>
      <c r="L333" s="33">
        <v>0</v>
      </c>
      <c r="M333" s="33">
        <v>0</v>
      </c>
      <c r="N333" s="86">
        <v>0</v>
      </c>
      <c r="O333" s="89">
        <v>0</v>
      </c>
      <c r="P333" s="87">
        <v>2616.902</v>
      </c>
      <c r="Q333" s="87">
        <v>0</v>
      </c>
      <c r="R333" s="119">
        <f t="shared" si="244"/>
        <v>0</v>
      </c>
      <c r="S333" s="87">
        <v>0</v>
      </c>
      <c r="T333" s="87">
        <v>0</v>
      </c>
      <c r="U333" s="87">
        <v>0</v>
      </c>
      <c r="V333" s="87">
        <v>0</v>
      </c>
      <c r="W333" s="87">
        <v>0</v>
      </c>
      <c r="X333" s="87">
        <v>0</v>
      </c>
      <c r="Y333" s="87">
        <v>0</v>
      </c>
      <c r="Z333" s="87">
        <v>0</v>
      </c>
      <c r="AA333" s="87">
        <v>0</v>
      </c>
      <c r="AB333" s="87">
        <v>0</v>
      </c>
      <c r="AC333" s="161">
        <v>0</v>
      </c>
      <c r="AD333" s="148">
        <f t="shared" si="227"/>
        <v>2616.902</v>
      </c>
    </row>
    <row r="334" spans="1:30" ht="22.5">
      <c r="A334" s="20">
        <v>110</v>
      </c>
      <c r="B334" s="37" t="s">
        <v>111</v>
      </c>
      <c r="C334" s="24" t="s">
        <v>153</v>
      </c>
      <c r="D334" s="53" t="s">
        <v>151</v>
      </c>
      <c r="E334" s="26">
        <f>F335</f>
        <v>231</v>
      </c>
      <c r="F334" s="27">
        <f>F335</f>
        <v>231</v>
      </c>
      <c r="G334" s="28">
        <f>G335</f>
        <v>0</v>
      </c>
      <c r="H334" s="28">
        <f>H335</f>
        <v>0</v>
      </c>
      <c r="I334" s="28">
        <f t="shared" si="242"/>
        <v>231</v>
      </c>
      <c r="J334" s="27">
        <f>J335</f>
        <v>0</v>
      </c>
      <c r="K334" s="27">
        <f t="shared" ref="K334:Q334" si="248">K335</f>
        <v>0</v>
      </c>
      <c r="L334" s="27">
        <f t="shared" si="248"/>
        <v>0</v>
      </c>
      <c r="M334" s="27">
        <f t="shared" si="248"/>
        <v>0</v>
      </c>
      <c r="N334" s="85">
        <f t="shared" si="248"/>
        <v>231</v>
      </c>
      <c r="O334" s="85">
        <f t="shared" si="248"/>
        <v>0</v>
      </c>
      <c r="P334" s="85">
        <f t="shared" si="248"/>
        <v>0</v>
      </c>
      <c r="Q334" s="85">
        <f t="shared" si="248"/>
        <v>0</v>
      </c>
      <c r="R334" s="118">
        <f t="shared" si="244"/>
        <v>0</v>
      </c>
      <c r="S334" s="85">
        <f>S335</f>
        <v>0</v>
      </c>
      <c r="T334" s="85">
        <f t="shared" ref="T334:AC334" si="249">T335</f>
        <v>0</v>
      </c>
      <c r="U334" s="85">
        <f t="shared" si="249"/>
        <v>0</v>
      </c>
      <c r="V334" s="85">
        <f t="shared" si="249"/>
        <v>0</v>
      </c>
      <c r="W334" s="85">
        <f t="shared" si="249"/>
        <v>0</v>
      </c>
      <c r="X334" s="85">
        <f t="shared" si="249"/>
        <v>0</v>
      </c>
      <c r="Y334" s="85">
        <f t="shared" si="249"/>
        <v>0</v>
      </c>
      <c r="Z334" s="85">
        <f t="shared" si="249"/>
        <v>0</v>
      </c>
      <c r="AA334" s="85">
        <f t="shared" si="249"/>
        <v>0</v>
      </c>
      <c r="AB334" s="85">
        <f t="shared" si="249"/>
        <v>0</v>
      </c>
      <c r="AC334" s="150">
        <f t="shared" si="249"/>
        <v>0</v>
      </c>
      <c r="AD334" s="146">
        <f t="shared" si="227"/>
        <v>0</v>
      </c>
    </row>
    <row r="335" spans="1:30">
      <c r="A335" s="40"/>
      <c r="B335" s="10" t="s">
        <v>31</v>
      </c>
      <c r="C335" s="30"/>
      <c r="D335" s="31"/>
      <c r="E335" s="32"/>
      <c r="F335" s="33">
        <f>H335+I335+AD335</f>
        <v>231</v>
      </c>
      <c r="G335" s="34">
        <v>0</v>
      </c>
      <c r="H335" s="33">
        <v>0</v>
      </c>
      <c r="I335" s="33">
        <f t="shared" si="242"/>
        <v>231</v>
      </c>
      <c r="J335" s="33">
        <v>0</v>
      </c>
      <c r="K335" s="33">
        <v>0</v>
      </c>
      <c r="L335" s="33">
        <v>0</v>
      </c>
      <c r="M335" s="33">
        <v>0</v>
      </c>
      <c r="N335" s="87">
        <v>231</v>
      </c>
      <c r="O335" s="87">
        <v>0</v>
      </c>
      <c r="P335" s="87"/>
      <c r="Q335" s="87"/>
      <c r="R335" s="119">
        <f t="shared" si="244"/>
        <v>0</v>
      </c>
      <c r="S335" s="87">
        <v>0</v>
      </c>
      <c r="T335" s="87">
        <v>0</v>
      </c>
      <c r="U335" s="87">
        <v>0</v>
      </c>
      <c r="V335" s="87">
        <v>0</v>
      </c>
      <c r="W335" s="87">
        <v>0</v>
      </c>
      <c r="X335" s="87">
        <v>0</v>
      </c>
      <c r="Y335" s="87">
        <v>0</v>
      </c>
      <c r="Z335" s="87">
        <v>0</v>
      </c>
      <c r="AA335" s="87">
        <v>0</v>
      </c>
      <c r="AB335" s="87">
        <v>0</v>
      </c>
      <c r="AC335" s="161">
        <v>0</v>
      </c>
      <c r="AD335" s="148">
        <f t="shared" si="227"/>
        <v>0</v>
      </c>
    </row>
    <row r="336" spans="1:30" ht="29.25">
      <c r="A336" s="20">
        <v>111</v>
      </c>
      <c r="B336" s="37" t="s">
        <v>138</v>
      </c>
      <c r="C336" s="24" t="s">
        <v>203</v>
      </c>
      <c r="D336" s="25" t="s">
        <v>447</v>
      </c>
      <c r="E336" s="26">
        <f>F337</f>
        <v>7761.2489999999998</v>
      </c>
      <c r="F336" s="27">
        <f>F337</f>
        <v>7761.2489999999998</v>
      </c>
      <c r="G336" s="28">
        <f>G337</f>
        <v>0</v>
      </c>
      <c r="H336" s="28">
        <f>H337</f>
        <v>812</v>
      </c>
      <c r="I336" s="28">
        <f t="shared" si="224"/>
        <v>6039.7489999999998</v>
      </c>
      <c r="J336" s="27">
        <f>J337</f>
        <v>812</v>
      </c>
      <c r="K336" s="27">
        <f t="shared" ref="K336:Q336" si="250">K337</f>
        <v>3045</v>
      </c>
      <c r="L336" s="27">
        <f t="shared" si="250"/>
        <v>957</v>
      </c>
      <c r="M336" s="27">
        <f t="shared" si="250"/>
        <v>767.46</v>
      </c>
      <c r="N336" s="85">
        <f t="shared" si="250"/>
        <v>939.78899999999999</v>
      </c>
      <c r="O336" s="85">
        <f t="shared" si="250"/>
        <v>330.5</v>
      </c>
      <c r="P336" s="85">
        <f t="shared" si="250"/>
        <v>859.5</v>
      </c>
      <c r="Q336" s="85">
        <f t="shared" si="250"/>
        <v>50</v>
      </c>
      <c r="R336" s="118">
        <f t="shared" si="233"/>
        <v>0</v>
      </c>
      <c r="S336" s="85">
        <f>S337</f>
        <v>0</v>
      </c>
      <c r="T336" s="85">
        <f t="shared" ref="T336:AC336" si="251">T337</f>
        <v>0</v>
      </c>
      <c r="U336" s="85">
        <f t="shared" si="251"/>
        <v>0</v>
      </c>
      <c r="V336" s="85">
        <f t="shared" si="251"/>
        <v>0</v>
      </c>
      <c r="W336" s="85">
        <f t="shared" si="251"/>
        <v>0</v>
      </c>
      <c r="X336" s="85">
        <f t="shared" si="251"/>
        <v>0</v>
      </c>
      <c r="Y336" s="85">
        <f t="shared" si="251"/>
        <v>0</v>
      </c>
      <c r="Z336" s="85">
        <f t="shared" si="251"/>
        <v>0</v>
      </c>
      <c r="AA336" s="85">
        <f t="shared" si="251"/>
        <v>0</v>
      </c>
      <c r="AB336" s="85">
        <f t="shared" si="251"/>
        <v>0</v>
      </c>
      <c r="AC336" s="150">
        <f t="shared" si="251"/>
        <v>0</v>
      </c>
      <c r="AD336" s="146">
        <f t="shared" si="227"/>
        <v>909.5</v>
      </c>
    </row>
    <row r="337" spans="1:30">
      <c r="A337" s="40"/>
      <c r="B337" s="10" t="s">
        <v>31</v>
      </c>
      <c r="C337" s="30"/>
      <c r="D337" s="31"/>
      <c r="E337" s="32"/>
      <c r="F337" s="33">
        <f>H337+I337+AD337</f>
        <v>7761.2489999999998</v>
      </c>
      <c r="G337" s="34">
        <v>0</v>
      </c>
      <c r="H337" s="33">
        <v>812</v>
      </c>
      <c r="I337" s="33">
        <f t="shared" si="224"/>
        <v>6039.7489999999998</v>
      </c>
      <c r="J337" s="33">
        <v>812</v>
      </c>
      <c r="K337" s="33">
        <v>3045</v>
      </c>
      <c r="L337" s="33">
        <v>957</v>
      </c>
      <c r="M337" s="35">
        <v>767.46</v>
      </c>
      <c r="N337" s="87">
        <v>939.78899999999999</v>
      </c>
      <c r="O337" s="87">
        <v>330.5</v>
      </c>
      <c r="P337" s="87">
        <v>859.5</v>
      </c>
      <c r="Q337" s="87">
        <v>50</v>
      </c>
      <c r="R337" s="119">
        <f t="shared" si="233"/>
        <v>0</v>
      </c>
      <c r="S337" s="87">
        <v>0</v>
      </c>
      <c r="T337" s="87">
        <v>0</v>
      </c>
      <c r="U337" s="87">
        <v>0</v>
      </c>
      <c r="V337" s="87">
        <v>0</v>
      </c>
      <c r="W337" s="87">
        <v>0</v>
      </c>
      <c r="X337" s="87">
        <v>0</v>
      </c>
      <c r="Y337" s="87">
        <v>0</v>
      </c>
      <c r="Z337" s="87">
        <v>0</v>
      </c>
      <c r="AA337" s="87">
        <v>0</v>
      </c>
      <c r="AB337" s="87">
        <v>0</v>
      </c>
      <c r="AC337" s="161">
        <v>0</v>
      </c>
      <c r="AD337" s="148">
        <f t="shared" si="227"/>
        <v>909.5</v>
      </c>
    </row>
    <row r="338" spans="1:30" ht="14.25" customHeight="1">
      <c r="A338" s="50" t="s">
        <v>204</v>
      </c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98"/>
      <c r="O338" s="98"/>
      <c r="P338" s="98"/>
      <c r="Q338" s="98"/>
      <c r="R338" s="122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170"/>
      <c r="AD338" s="151">
        <f t="shared" si="227"/>
        <v>0</v>
      </c>
    </row>
    <row r="339" spans="1:30" ht="22.5">
      <c r="A339" s="20">
        <v>112</v>
      </c>
      <c r="B339" s="23" t="s">
        <v>205</v>
      </c>
      <c r="C339" s="24" t="s">
        <v>335</v>
      </c>
      <c r="D339" s="47" t="s">
        <v>132</v>
      </c>
      <c r="E339" s="26">
        <f>F340</f>
        <v>4302.2700000000004</v>
      </c>
      <c r="F339" s="27">
        <f>F340</f>
        <v>4302.2700000000004</v>
      </c>
      <c r="G339" s="28">
        <f>G340</f>
        <v>0</v>
      </c>
      <c r="H339" s="28">
        <f>H340</f>
        <v>0</v>
      </c>
      <c r="I339" s="28">
        <f t="shared" ref="I339:I348" si="252">SUM(K339:O339)</f>
        <v>4302.2700000000004</v>
      </c>
      <c r="J339" s="27">
        <f>J340</f>
        <v>0</v>
      </c>
      <c r="K339" s="27">
        <f t="shared" ref="K339:Q339" si="253">K340</f>
        <v>2150</v>
      </c>
      <c r="L339" s="27">
        <f t="shared" si="253"/>
        <v>125</v>
      </c>
      <c r="M339" s="27">
        <f t="shared" si="253"/>
        <v>0</v>
      </c>
      <c r="N339" s="85">
        <f t="shared" si="253"/>
        <v>2027.27</v>
      </c>
      <c r="O339" s="85">
        <f t="shared" si="253"/>
        <v>0</v>
      </c>
      <c r="P339" s="85">
        <f t="shared" si="253"/>
        <v>0</v>
      </c>
      <c r="Q339" s="85">
        <f t="shared" si="253"/>
        <v>0</v>
      </c>
      <c r="R339" s="118">
        <f t="shared" ref="R339:R348" si="254">SUM(S339:AC339)</f>
        <v>0</v>
      </c>
      <c r="S339" s="85">
        <f>S340</f>
        <v>0</v>
      </c>
      <c r="T339" s="85">
        <f t="shared" ref="T339:AC339" si="255">T340</f>
        <v>0</v>
      </c>
      <c r="U339" s="85">
        <f t="shared" si="255"/>
        <v>0</v>
      </c>
      <c r="V339" s="85">
        <f t="shared" si="255"/>
        <v>0</v>
      </c>
      <c r="W339" s="85">
        <f t="shared" si="255"/>
        <v>0</v>
      </c>
      <c r="X339" s="85">
        <f t="shared" si="255"/>
        <v>0</v>
      </c>
      <c r="Y339" s="85">
        <f t="shared" si="255"/>
        <v>0</v>
      </c>
      <c r="Z339" s="85">
        <f t="shared" si="255"/>
        <v>0</v>
      </c>
      <c r="AA339" s="85">
        <f t="shared" si="255"/>
        <v>0</v>
      </c>
      <c r="AB339" s="85">
        <f t="shared" si="255"/>
        <v>0</v>
      </c>
      <c r="AC339" s="150">
        <f t="shared" si="255"/>
        <v>0</v>
      </c>
      <c r="AD339" s="146">
        <f t="shared" si="227"/>
        <v>0</v>
      </c>
    </row>
    <row r="340" spans="1:30">
      <c r="A340" s="40"/>
      <c r="B340" s="10" t="s">
        <v>31</v>
      </c>
      <c r="C340" s="30"/>
      <c r="D340" s="31"/>
      <c r="E340" s="32"/>
      <c r="F340" s="33">
        <f>H340+I340+AD340</f>
        <v>4302.2700000000004</v>
      </c>
      <c r="G340" s="34">
        <v>0</v>
      </c>
      <c r="H340" s="33">
        <v>0</v>
      </c>
      <c r="I340" s="33">
        <f t="shared" si="252"/>
        <v>4302.2700000000004</v>
      </c>
      <c r="J340" s="33">
        <v>0</v>
      </c>
      <c r="K340" s="33">
        <v>2150</v>
      </c>
      <c r="L340" s="33">
        <v>125</v>
      </c>
      <c r="M340" s="33">
        <v>0</v>
      </c>
      <c r="N340" s="86">
        <v>2027.27</v>
      </c>
      <c r="O340" s="86">
        <v>0</v>
      </c>
      <c r="P340" s="87">
        <v>0</v>
      </c>
      <c r="Q340" s="87">
        <v>0</v>
      </c>
      <c r="R340" s="119">
        <f t="shared" si="254"/>
        <v>0</v>
      </c>
      <c r="S340" s="87">
        <v>0</v>
      </c>
      <c r="T340" s="87">
        <v>0</v>
      </c>
      <c r="U340" s="87">
        <v>0</v>
      </c>
      <c r="V340" s="87">
        <v>0</v>
      </c>
      <c r="W340" s="87">
        <v>0</v>
      </c>
      <c r="X340" s="87">
        <v>0</v>
      </c>
      <c r="Y340" s="87">
        <v>0</v>
      </c>
      <c r="Z340" s="87">
        <v>0</v>
      </c>
      <c r="AA340" s="87">
        <v>0</v>
      </c>
      <c r="AB340" s="87">
        <v>0</v>
      </c>
      <c r="AC340" s="161">
        <v>0</v>
      </c>
      <c r="AD340" s="148">
        <f t="shared" si="227"/>
        <v>0</v>
      </c>
    </row>
    <row r="341" spans="1:30" ht="33.75">
      <c r="A341" s="20">
        <v>113</v>
      </c>
      <c r="B341" s="23" t="s">
        <v>207</v>
      </c>
      <c r="C341" s="24" t="s">
        <v>153</v>
      </c>
      <c r="D341" s="47" t="s">
        <v>208</v>
      </c>
      <c r="E341" s="26">
        <f>F342</f>
        <v>1050</v>
      </c>
      <c r="F341" s="27">
        <f>F342</f>
        <v>1050</v>
      </c>
      <c r="G341" s="28">
        <f>G342</f>
        <v>0</v>
      </c>
      <c r="H341" s="28">
        <f>H342</f>
        <v>0</v>
      </c>
      <c r="I341" s="28">
        <f t="shared" si="252"/>
        <v>1050</v>
      </c>
      <c r="J341" s="27">
        <f>J342</f>
        <v>0</v>
      </c>
      <c r="K341" s="27">
        <f t="shared" ref="K341:Q341" si="256">K342</f>
        <v>0</v>
      </c>
      <c r="L341" s="27">
        <f t="shared" si="256"/>
        <v>1050</v>
      </c>
      <c r="M341" s="27">
        <f t="shared" si="256"/>
        <v>0</v>
      </c>
      <c r="N341" s="85">
        <f t="shared" si="256"/>
        <v>0</v>
      </c>
      <c r="O341" s="85">
        <f t="shared" si="256"/>
        <v>0</v>
      </c>
      <c r="P341" s="85">
        <f t="shared" si="256"/>
        <v>0</v>
      </c>
      <c r="Q341" s="85">
        <f t="shared" si="256"/>
        <v>0</v>
      </c>
      <c r="R341" s="118">
        <f t="shared" si="254"/>
        <v>0</v>
      </c>
      <c r="S341" s="85">
        <f>S342</f>
        <v>0</v>
      </c>
      <c r="T341" s="85">
        <f t="shared" ref="T341:AC341" si="257">T342</f>
        <v>0</v>
      </c>
      <c r="U341" s="85">
        <f t="shared" si="257"/>
        <v>0</v>
      </c>
      <c r="V341" s="85">
        <f t="shared" si="257"/>
        <v>0</v>
      </c>
      <c r="W341" s="85">
        <f t="shared" si="257"/>
        <v>0</v>
      </c>
      <c r="X341" s="85">
        <f t="shared" si="257"/>
        <v>0</v>
      </c>
      <c r="Y341" s="85">
        <f t="shared" si="257"/>
        <v>0</v>
      </c>
      <c r="Z341" s="85">
        <f t="shared" si="257"/>
        <v>0</v>
      </c>
      <c r="AA341" s="85">
        <f t="shared" si="257"/>
        <v>0</v>
      </c>
      <c r="AB341" s="85">
        <f t="shared" si="257"/>
        <v>0</v>
      </c>
      <c r="AC341" s="150">
        <f t="shared" si="257"/>
        <v>0</v>
      </c>
      <c r="AD341" s="153">
        <f t="shared" si="227"/>
        <v>0</v>
      </c>
    </row>
    <row r="342" spans="1:30">
      <c r="A342" s="40"/>
      <c r="B342" s="10" t="s">
        <v>31</v>
      </c>
      <c r="C342" s="30"/>
      <c r="D342" s="31"/>
      <c r="E342" s="32"/>
      <c r="F342" s="33">
        <f>H342+I342+AD342</f>
        <v>1050</v>
      </c>
      <c r="G342" s="34">
        <v>0</v>
      </c>
      <c r="H342" s="33">
        <v>0</v>
      </c>
      <c r="I342" s="33">
        <f t="shared" si="252"/>
        <v>1050</v>
      </c>
      <c r="J342" s="33">
        <v>0</v>
      </c>
      <c r="K342" s="33">
        <v>0</v>
      </c>
      <c r="L342" s="33">
        <v>1050</v>
      </c>
      <c r="M342" s="33">
        <v>0</v>
      </c>
      <c r="N342" s="87">
        <v>0</v>
      </c>
      <c r="O342" s="87">
        <v>0</v>
      </c>
      <c r="P342" s="87">
        <v>0</v>
      </c>
      <c r="Q342" s="87">
        <v>0</v>
      </c>
      <c r="R342" s="119">
        <f t="shared" si="254"/>
        <v>0</v>
      </c>
      <c r="S342" s="87">
        <v>0</v>
      </c>
      <c r="T342" s="87">
        <v>0</v>
      </c>
      <c r="U342" s="87">
        <v>0</v>
      </c>
      <c r="V342" s="87">
        <v>0</v>
      </c>
      <c r="W342" s="87">
        <v>0</v>
      </c>
      <c r="X342" s="87">
        <v>0</v>
      </c>
      <c r="Y342" s="87">
        <v>0</v>
      </c>
      <c r="Z342" s="87">
        <v>0</v>
      </c>
      <c r="AA342" s="87">
        <v>0</v>
      </c>
      <c r="AB342" s="87">
        <v>0</v>
      </c>
      <c r="AC342" s="161">
        <v>0</v>
      </c>
      <c r="AD342" s="148">
        <f t="shared" si="227"/>
        <v>0</v>
      </c>
    </row>
    <row r="343" spans="1:30" ht="27.75" customHeight="1">
      <c r="A343" s="20">
        <v>114</v>
      </c>
      <c r="B343" s="56" t="s">
        <v>334</v>
      </c>
      <c r="C343" s="66" t="s">
        <v>335</v>
      </c>
      <c r="D343" s="67" t="s">
        <v>105</v>
      </c>
      <c r="E343" s="26">
        <f>F344</f>
        <v>1100.3</v>
      </c>
      <c r="F343" s="27">
        <f>F344</f>
        <v>1100.3</v>
      </c>
      <c r="G343" s="28">
        <f>G344</f>
        <v>0</v>
      </c>
      <c r="H343" s="28">
        <f>H344</f>
        <v>0</v>
      </c>
      <c r="I343" s="28">
        <f>SUM(K343:O343)</f>
        <v>830.3</v>
      </c>
      <c r="J343" s="27">
        <f>J344</f>
        <v>0</v>
      </c>
      <c r="K343" s="27">
        <f t="shared" ref="K343:Q345" si="258">K344</f>
        <v>0</v>
      </c>
      <c r="L343" s="27">
        <f t="shared" si="258"/>
        <v>0</v>
      </c>
      <c r="M343" s="27">
        <f t="shared" si="258"/>
        <v>0</v>
      </c>
      <c r="N343" s="85">
        <f t="shared" si="258"/>
        <v>346.02</v>
      </c>
      <c r="O343" s="85">
        <f t="shared" si="258"/>
        <v>484.28</v>
      </c>
      <c r="P343" s="85">
        <f t="shared" si="258"/>
        <v>270</v>
      </c>
      <c r="Q343" s="85">
        <f t="shared" si="258"/>
        <v>0</v>
      </c>
      <c r="R343" s="118">
        <f t="shared" si="254"/>
        <v>0</v>
      </c>
      <c r="S343" s="85">
        <f>S344</f>
        <v>0</v>
      </c>
      <c r="T343" s="85">
        <f t="shared" ref="T343:AC345" si="259">T344</f>
        <v>0</v>
      </c>
      <c r="U343" s="85">
        <f t="shared" si="259"/>
        <v>0</v>
      </c>
      <c r="V343" s="85">
        <f t="shared" si="259"/>
        <v>0</v>
      </c>
      <c r="W343" s="85">
        <f t="shared" si="259"/>
        <v>0</v>
      </c>
      <c r="X343" s="85">
        <f t="shared" si="259"/>
        <v>0</v>
      </c>
      <c r="Y343" s="85">
        <f t="shared" si="259"/>
        <v>0</v>
      </c>
      <c r="Z343" s="85">
        <f t="shared" si="259"/>
        <v>0</v>
      </c>
      <c r="AA343" s="85">
        <f t="shared" si="259"/>
        <v>0</v>
      </c>
      <c r="AB343" s="85">
        <f t="shared" si="259"/>
        <v>0</v>
      </c>
      <c r="AC343" s="150">
        <f t="shared" si="259"/>
        <v>0</v>
      </c>
      <c r="AD343" s="146">
        <f t="shared" si="227"/>
        <v>270</v>
      </c>
    </row>
    <row r="344" spans="1:30">
      <c r="A344" s="40"/>
      <c r="B344" s="10" t="s">
        <v>31</v>
      </c>
      <c r="C344" s="30"/>
      <c r="D344" s="31"/>
      <c r="E344" s="32"/>
      <c r="F344" s="33">
        <f>H344+I344+AD344</f>
        <v>1100.3</v>
      </c>
      <c r="G344" s="34">
        <v>0</v>
      </c>
      <c r="H344" s="33">
        <v>0</v>
      </c>
      <c r="I344" s="33">
        <f>SUM(K344:O344)</f>
        <v>830.3</v>
      </c>
      <c r="J344" s="33">
        <v>0</v>
      </c>
      <c r="K344" s="33">
        <v>0</v>
      </c>
      <c r="L344" s="33">
        <v>0</v>
      </c>
      <c r="M344" s="35">
        <v>0</v>
      </c>
      <c r="N344" s="86">
        <f>900-90-80-383.98</f>
        <v>346.02</v>
      </c>
      <c r="O344" s="89">
        <v>484.28</v>
      </c>
      <c r="P344" s="87">
        <v>270</v>
      </c>
      <c r="Q344" s="87">
        <v>0</v>
      </c>
      <c r="R344" s="119">
        <f t="shared" si="254"/>
        <v>0</v>
      </c>
      <c r="S344" s="87">
        <v>0</v>
      </c>
      <c r="T344" s="87">
        <v>0</v>
      </c>
      <c r="U344" s="87">
        <v>0</v>
      </c>
      <c r="V344" s="87">
        <v>0</v>
      </c>
      <c r="W344" s="87">
        <v>0</v>
      </c>
      <c r="X344" s="87">
        <v>0</v>
      </c>
      <c r="Y344" s="87">
        <v>0</v>
      </c>
      <c r="Z344" s="87">
        <v>0</v>
      </c>
      <c r="AA344" s="87">
        <v>0</v>
      </c>
      <c r="AB344" s="87">
        <v>0</v>
      </c>
      <c r="AC344" s="161">
        <v>0</v>
      </c>
      <c r="AD344" s="148">
        <f t="shared" si="227"/>
        <v>270</v>
      </c>
    </row>
    <row r="345" spans="1:30" ht="27.75" customHeight="1">
      <c r="A345" s="20">
        <v>115</v>
      </c>
      <c r="B345" s="23" t="s">
        <v>325</v>
      </c>
      <c r="C345" s="24" t="s">
        <v>326</v>
      </c>
      <c r="D345" s="47" t="s">
        <v>99</v>
      </c>
      <c r="E345" s="26">
        <f>F346</f>
        <v>896.4</v>
      </c>
      <c r="F345" s="27">
        <f>F346</f>
        <v>896.4</v>
      </c>
      <c r="G345" s="28">
        <f>G346</f>
        <v>0</v>
      </c>
      <c r="H345" s="28">
        <f>H346</f>
        <v>0</v>
      </c>
      <c r="I345" s="28">
        <f t="shared" si="252"/>
        <v>896.4</v>
      </c>
      <c r="J345" s="27">
        <f>J346</f>
        <v>0</v>
      </c>
      <c r="K345" s="27">
        <f t="shared" si="258"/>
        <v>0</v>
      </c>
      <c r="L345" s="27">
        <f t="shared" si="258"/>
        <v>0</v>
      </c>
      <c r="M345" s="27">
        <f t="shared" si="258"/>
        <v>500</v>
      </c>
      <c r="N345" s="85">
        <f t="shared" si="258"/>
        <v>396.4</v>
      </c>
      <c r="O345" s="85">
        <f t="shared" si="258"/>
        <v>0</v>
      </c>
      <c r="P345" s="85">
        <f t="shared" si="258"/>
        <v>0</v>
      </c>
      <c r="Q345" s="85">
        <f t="shared" si="258"/>
        <v>0</v>
      </c>
      <c r="R345" s="118">
        <f t="shared" si="254"/>
        <v>0</v>
      </c>
      <c r="S345" s="85">
        <f>S346</f>
        <v>0</v>
      </c>
      <c r="T345" s="85">
        <f t="shared" si="259"/>
        <v>0</v>
      </c>
      <c r="U345" s="85">
        <f t="shared" si="259"/>
        <v>0</v>
      </c>
      <c r="V345" s="85">
        <f t="shared" si="259"/>
        <v>0</v>
      </c>
      <c r="W345" s="85">
        <f t="shared" si="259"/>
        <v>0</v>
      </c>
      <c r="X345" s="85">
        <f t="shared" si="259"/>
        <v>0</v>
      </c>
      <c r="Y345" s="85">
        <f t="shared" si="259"/>
        <v>0</v>
      </c>
      <c r="Z345" s="85">
        <f t="shared" si="259"/>
        <v>0</v>
      </c>
      <c r="AA345" s="85">
        <f t="shared" si="259"/>
        <v>0</v>
      </c>
      <c r="AB345" s="85">
        <f t="shared" si="259"/>
        <v>0</v>
      </c>
      <c r="AC345" s="150">
        <f t="shared" si="259"/>
        <v>0</v>
      </c>
      <c r="AD345" s="146">
        <f t="shared" si="227"/>
        <v>0</v>
      </c>
    </row>
    <row r="346" spans="1:30">
      <c r="A346" s="40"/>
      <c r="B346" s="10" t="s">
        <v>31</v>
      </c>
      <c r="C346" s="30"/>
      <c r="D346" s="31"/>
      <c r="E346" s="32"/>
      <c r="F346" s="33">
        <f>H346+I346+AD346</f>
        <v>896.4</v>
      </c>
      <c r="G346" s="34">
        <v>0</v>
      </c>
      <c r="H346" s="33">
        <v>0</v>
      </c>
      <c r="I346" s="33">
        <f t="shared" si="252"/>
        <v>896.4</v>
      </c>
      <c r="J346" s="33">
        <v>0</v>
      </c>
      <c r="K346" s="33">
        <v>0</v>
      </c>
      <c r="L346" s="33">
        <v>0</v>
      </c>
      <c r="M346" s="35">
        <v>500</v>
      </c>
      <c r="N346" s="86">
        <v>396.4</v>
      </c>
      <c r="O346" s="87">
        <v>0</v>
      </c>
      <c r="P346" s="87">
        <v>0</v>
      </c>
      <c r="Q346" s="87">
        <v>0</v>
      </c>
      <c r="R346" s="119">
        <f t="shared" si="254"/>
        <v>0</v>
      </c>
      <c r="S346" s="87">
        <v>0</v>
      </c>
      <c r="T346" s="87">
        <v>0</v>
      </c>
      <c r="U346" s="87">
        <v>0</v>
      </c>
      <c r="V346" s="87">
        <v>0</v>
      </c>
      <c r="W346" s="87">
        <v>0</v>
      </c>
      <c r="X346" s="87">
        <v>0</v>
      </c>
      <c r="Y346" s="87">
        <v>0</v>
      </c>
      <c r="Z346" s="87">
        <v>0</v>
      </c>
      <c r="AA346" s="87">
        <v>0</v>
      </c>
      <c r="AB346" s="87">
        <v>0</v>
      </c>
      <c r="AC346" s="161">
        <v>0</v>
      </c>
      <c r="AD346" s="148">
        <f t="shared" si="227"/>
        <v>0</v>
      </c>
    </row>
    <row r="347" spans="1:30" ht="56.25">
      <c r="A347" s="20">
        <v>116</v>
      </c>
      <c r="B347" s="23" t="s">
        <v>209</v>
      </c>
      <c r="C347" s="24" t="s">
        <v>206</v>
      </c>
      <c r="D347" s="47">
        <v>2016</v>
      </c>
      <c r="E347" s="26">
        <f>F348</f>
        <v>5</v>
      </c>
      <c r="F347" s="27">
        <f>F348</f>
        <v>5</v>
      </c>
      <c r="G347" s="28">
        <f>G348</f>
        <v>0</v>
      </c>
      <c r="H347" s="28">
        <f>H348</f>
        <v>0</v>
      </c>
      <c r="I347" s="28">
        <f t="shared" si="252"/>
        <v>5</v>
      </c>
      <c r="J347" s="27">
        <f>J348</f>
        <v>0</v>
      </c>
      <c r="K347" s="27">
        <f t="shared" ref="K347:Q347" si="260">K348</f>
        <v>0</v>
      </c>
      <c r="L347" s="27">
        <f t="shared" si="260"/>
        <v>5</v>
      </c>
      <c r="M347" s="27">
        <f t="shared" si="260"/>
        <v>0</v>
      </c>
      <c r="N347" s="85">
        <f t="shared" si="260"/>
        <v>0</v>
      </c>
      <c r="O347" s="85">
        <f t="shared" si="260"/>
        <v>0</v>
      </c>
      <c r="P347" s="85">
        <f t="shared" si="260"/>
        <v>0</v>
      </c>
      <c r="Q347" s="85">
        <f t="shared" si="260"/>
        <v>0</v>
      </c>
      <c r="R347" s="118">
        <f t="shared" si="254"/>
        <v>0</v>
      </c>
      <c r="S347" s="85">
        <f>S348</f>
        <v>0</v>
      </c>
      <c r="T347" s="85">
        <f t="shared" ref="T347:AC347" si="261">T348</f>
        <v>0</v>
      </c>
      <c r="U347" s="85">
        <f t="shared" si="261"/>
        <v>0</v>
      </c>
      <c r="V347" s="85">
        <f t="shared" si="261"/>
        <v>0</v>
      </c>
      <c r="W347" s="85">
        <f t="shared" si="261"/>
        <v>0</v>
      </c>
      <c r="X347" s="85">
        <f t="shared" si="261"/>
        <v>0</v>
      </c>
      <c r="Y347" s="85">
        <f t="shared" si="261"/>
        <v>0</v>
      </c>
      <c r="Z347" s="85">
        <f t="shared" si="261"/>
        <v>0</v>
      </c>
      <c r="AA347" s="85">
        <f t="shared" si="261"/>
        <v>0</v>
      </c>
      <c r="AB347" s="85">
        <f t="shared" si="261"/>
        <v>0</v>
      </c>
      <c r="AC347" s="150">
        <f t="shared" si="261"/>
        <v>0</v>
      </c>
      <c r="AD347" s="146">
        <f t="shared" si="227"/>
        <v>0</v>
      </c>
    </row>
    <row r="348" spans="1:30">
      <c r="A348" s="40"/>
      <c r="B348" s="10" t="s">
        <v>31</v>
      </c>
      <c r="C348" s="30"/>
      <c r="D348" s="31"/>
      <c r="E348" s="32"/>
      <c r="F348" s="33">
        <f>H348+I348+AD348</f>
        <v>5</v>
      </c>
      <c r="G348" s="34">
        <v>0</v>
      </c>
      <c r="H348" s="33">
        <v>0</v>
      </c>
      <c r="I348" s="33">
        <f t="shared" si="252"/>
        <v>5</v>
      </c>
      <c r="J348" s="33">
        <v>0</v>
      </c>
      <c r="K348" s="33">
        <v>0</v>
      </c>
      <c r="L348" s="33">
        <v>5</v>
      </c>
      <c r="M348" s="35">
        <v>0</v>
      </c>
      <c r="N348" s="86">
        <v>0</v>
      </c>
      <c r="O348" s="87">
        <v>0</v>
      </c>
      <c r="P348" s="87">
        <v>0</v>
      </c>
      <c r="Q348" s="87">
        <v>0</v>
      </c>
      <c r="R348" s="119">
        <f t="shared" si="254"/>
        <v>0</v>
      </c>
      <c r="S348" s="87">
        <v>0</v>
      </c>
      <c r="T348" s="87">
        <v>0</v>
      </c>
      <c r="U348" s="87">
        <v>0</v>
      </c>
      <c r="V348" s="87">
        <v>0</v>
      </c>
      <c r="W348" s="87">
        <v>0</v>
      </c>
      <c r="X348" s="87">
        <v>0</v>
      </c>
      <c r="Y348" s="87">
        <v>0</v>
      </c>
      <c r="Z348" s="87">
        <v>0</v>
      </c>
      <c r="AA348" s="87">
        <v>0</v>
      </c>
      <c r="AB348" s="87">
        <v>0</v>
      </c>
      <c r="AC348" s="161">
        <v>0</v>
      </c>
      <c r="AD348" s="148">
        <f t="shared" si="227"/>
        <v>0</v>
      </c>
    </row>
    <row r="349" spans="1:30">
      <c r="A349" s="50" t="s">
        <v>210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95"/>
      <c r="O349" s="95"/>
      <c r="P349" s="95"/>
      <c r="Q349" s="95"/>
      <c r="R349" s="120"/>
      <c r="S349" s="95"/>
      <c r="T349" s="95"/>
      <c r="U349" s="95"/>
      <c r="V349" s="95"/>
      <c r="W349" s="95"/>
      <c r="X349" s="95"/>
      <c r="Y349" s="95"/>
      <c r="Z349" s="95"/>
      <c r="AA349" s="95"/>
      <c r="AB349" s="95"/>
      <c r="AC349" s="166"/>
      <c r="AD349" s="151">
        <f t="shared" si="227"/>
        <v>0</v>
      </c>
    </row>
    <row r="350" spans="1:30" ht="22.5">
      <c r="A350" s="20">
        <v>117</v>
      </c>
      <c r="B350" s="23" t="s">
        <v>211</v>
      </c>
      <c r="C350" s="24" t="s">
        <v>212</v>
      </c>
      <c r="D350" s="25" t="s">
        <v>143</v>
      </c>
      <c r="E350" s="26">
        <f>F351</f>
        <v>52792.674999999996</v>
      </c>
      <c r="F350" s="27">
        <f>F351+F352</f>
        <v>57842.894999999997</v>
      </c>
      <c r="G350" s="27">
        <f>G351+G352</f>
        <v>42760.775999999998</v>
      </c>
      <c r="H350" s="27">
        <f>H351+H352</f>
        <v>43063.826000000001</v>
      </c>
      <c r="I350" s="28">
        <f t="shared" ref="I350:I365" si="262">SUM(K350:O350)</f>
        <v>6703.9710000000005</v>
      </c>
      <c r="J350" s="27">
        <f t="shared" ref="J350:Q350" si="263">J351+J352</f>
        <v>303.05</v>
      </c>
      <c r="K350" s="27">
        <f t="shared" si="263"/>
        <v>484.5</v>
      </c>
      <c r="L350" s="27">
        <f t="shared" si="263"/>
        <v>1968.55</v>
      </c>
      <c r="M350" s="27">
        <f t="shared" si="263"/>
        <v>2521.15</v>
      </c>
      <c r="N350" s="85">
        <f t="shared" si="263"/>
        <v>552.35500000000002</v>
      </c>
      <c r="O350" s="85">
        <f t="shared" si="263"/>
        <v>1177.4159999999999</v>
      </c>
      <c r="P350" s="85">
        <f t="shared" si="263"/>
        <v>5595.5929999999998</v>
      </c>
      <c r="Q350" s="85">
        <f t="shared" si="263"/>
        <v>2479.5050000000001</v>
      </c>
      <c r="R350" s="118">
        <f t="shared" ref="R350:R365" si="264">SUM(S350:AC350)</f>
        <v>0</v>
      </c>
      <c r="S350" s="85">
        <f>S351+S352</f>
        <v>0</v>
      </c>
      <c r="T350" s="85">
        <f t="shared" ref="T350:AC350" si="265">T351+T352</f>
        <v>0</v>
      </c>
      <c r="U350" s="85">
        <f t="shared" si="265"/>
        <v>0</v>
      </c>
      <c r="V350" s="85">
        <f t="shared" si="265"/>
        <v>0</v>
      </c>
      <c r="W350" s="85">
        <f t="shared" si="265"/>
        <v>0</v>
      </c>
      <c r="X350" s="85">
        <f t="shared" si="265"/>
        <v>0</v>
      </c>
      <c r="Y350" s="85">
        <f t="shared" si="265"/>
        <v>0</v>
      </c>
      <c r="Z350" s="85">
        <f t="shared" si="265"/>
        <v>0</v>
      </c>
      <c r="AA350" s="85">
        <f t="shared" si="265"/>
        <v>0</v>
      </c>
      <c r="AB350" s="85">
        <f t="shared" si="265"/>
        <v>0</v>
      </c>
      <c r="AC350" s="150">
        <f t="shared" si="265"/>
        <v>0</v>
      </c>
      <c r="AD350" s="146">
        <f t="shared" si="227"/>
        <v>8075.098</v>
      </c>
    </row>
    <row r="351" spans="1:30">
      <c r="A351" s="40"/>
      <c r="B351" s="10" t="s">
        <v>31</v>
      </c>
      <c r="C351" s="30"/>
      <c r="D351" s="31"/>
      <c r="E351" s="32"/>
      <c r="F351" s="33">
        <f>H351+I351+AD351</f>
        <v>52792.674999999996</v>
      </c>
      <c r="G351" s="34">
        <v>37710.555999999997</v>
      </c>
      <c r="H351" s="33">
        <v>38013.606</v>
      </c>
      <c r="I351" s="33">
        <f t="shared" si="262"/>
        <v>6703.9710000000005</v>
      </c>
      <c r="J351" s="33">
        <v>303.05</v>
      </c>
      <c r="K351" s="33">
        <v>484.5</v>
      </c>
      <c r="L351" s="33">
        <v>1968.55</v>
      </c>
      <c r="M351" s="35">
        <f>3091.15-570</f>
        <v>2521.15</v>
      </c>
      <c r="N351" s="87">
        <v>552.35500000000002</v>
      </c>
      <c r="O351" s="87">
        <v>1177.4159999999999</v>
      </c>
      <c r="P351" s="87">
        <v>5595.5929999999998</v>
      </c>
      <c r="Q351" s="87">
        <f>160+2319.505</f>
        <v>2479.5050000000001</v>
      </c>
      <c r="R351" s="119">
        <f t="shared" si="264"/>
        <v>0</v>
      </c>
      <c r="S351" s="87">
        <v>0</v>
      </c>
      <c r="T351" s="87">
        <v>0</v>
      </c>
      <c r="U351" s="87">
        <v>0</v>
      </c>
      <c r="V351" s="87">
        <v>0</v>
      </c>
      <c r="W351" s="87">
        <v>0</v>
      </c>
      <c r="X351" s="87">
        <v>0</v>
      </c>
      <c r="Y351" s="87">
        <v>0</v>
      </c>
      <c r="Z351" s="87">
        <v>0</v>
      </c>
      <c r="AA351" s="87">
        <v>0</v>
      </c>
      <c r="AB351" s="87">
        <v>0</v>
      </c>
      <c r="AC351" s="161">
        <v>0</v>
      </c>
      <c r="AD351" s="148">
        <f t="shared" si="227"/>
        <v>8075.098</v>
      </c>
    </row>
    <row r="352" spans="1:30">
      <c r="A352" s="40"/>
      <c r="B352" s="10" t="s">
        <v>89</v>
      </c>
      <c r="C352" s="30"/>
      <c r="D352" s="31"/>
      <c r="E352" s="32"/>
      <c r="F352" s="33">
        <f>H352+I352+AD352</f>
        <v>5050.22</v>
      </c>
      <c r="G352" s="34">
        <v>5050.22</v>
      </c>
      <c r="H352" s="33">
        <v>5050.22</v>
      </c>
      <c r="I352" s="33">
        <f t="shared" si="262"/>
        <v>0</v>
      </c>
      <c r="J352" s="33">
        <v>0</v>
      </c>
      <c r="K352" s="33">
        <v>0</v>
      </c>
      <c r="L352" s="33">
        <v>0</v>
      </c>
      <c r="M352" s="33">
        <v>0</v>
      </c>
      <c r="N352" s="87">
        <v>0</v>
      </c>
      <c r="O352" s="87">
        <v>0</v>
      </c>
      <c r="P352" s="87">
        <v>0</v>
      </c>
      <c r="Q352" s="87">
        <v>0</v>
      </c>
      <c r="R352" s="119">
        <f t="shared" si="264"/>
        <v>0</v>
      </c>
      <c r="S352" s="87">
        <v>0</v>
      </c>
      <c r="T352" s="87">
        <v>0</v>
      </c>
      <c r="U352" s="87">
        <v>0</v>
      </c>
      <c r="V352" s="87">
        <v>0</v>
      </c>
      <c r="W352" s="87">
        <v>0</v>
      </c>
      <c r="X352" s="87">
        <v>0</v>
      </c>
      <c r="Y352" s="87">
        <v>0</v>
      </c>
      <c r="Z352" s="87">
        <v>0</v>
      </c>
      <c r="AA352" s="87">
        <v>0</v>
      </c>
      <c r="AB352" s="87">
        <v>0</v>
      </c>
      <c r="AC352" s="161">
        <v>0</v>
      </c>
      <c r="AD352" s="148">
        <f t="shared" si="227"/>
        <v>0</v>
      </c>
    </row>
    <row r="353" spans="1:182" ht="45.75" customHeight="1">
      <c r="A353" s="20">
        <v>118</v>
      </c>
      <c r="B353" s="23" t="s">
        <v>362</v>
      </c>
      <c r="C353" s="24" t="s">
        <v>364</v>
      </c>
      <c r="D353" s="25" t="s">
        <v>151</v>
      </c>
      <c r="E353" s="26">
        <f>F354</f>
        <v>3492.6019999999999</v>
      </c>
      <c r="F353" s="27">
        <f>F354+F355</f>
        <v>12279.271000000001</v>
      </c>
      <c r="G353" s="27">
        <f>G354+G355</f>
        <v>0</v>
      </c>
      <c r="H353" s="27">
        <f>H354+H355</f>
        <v>0</v>
      </c>
      <c r="I353" s="28">
        <f t="shared" si="262"/>
        <v>12279.271000000001</v>
      </c>
      <c r="J353" s="27">
        <f t="shared" ref="J353:Q353" si="266">J354+J355</f>
        <v>0</v>
      </c>
      <c r="K353" s="27">
        <f t="shared" si="266"/>
        <v>0</v>
      </c>
      <c r="L353" s="27">
        <f t="shared" si="266"/>
        <v>0</v>
      </c>
      <c r="M353" s="27">
        <f t="shared" si="266"/>
        <v>0</v>
      </c>
      <c r="N353" s="85">
        <f t="shared" si="266"/>
        <v>4871.6320000000005</v>
      </c>
      <c r="O353" s="85">
        <f t="shared" si="266"/>
        <v>7407.639000000001</v>
      </c>
      <c r="P353" s="85">
        <f t="shared" si="266"/>
        <v>0</v>
      </c>
      <c r="Q353" s="85">
        <f t="shared" si="266"/>
        <v>0</v>
      </c>
      <c r="R353" s="118">
        <f t="shared" si="264"/>
        <v>0</v>
      </c>
      <c r="S353" s="85">
        <f>S354+S355</f>
        <v>0</v>
      </c>
      <c r="T353" s="85">
        <f t="shared" ref="T353:AC353" si="267">T354+T355</f>
        <v>0</v>
      </c>
      <c r="U353" s="85">
        <f t="shared" si="267"/>
        <v>0</v>
      </c>
      <c r="V353" s="85">
        <f t="shared" si="267"/>
        <v>0</v>
      </c>
      <c r="W353" s="85">
        <f t="shared" si="267"/>
        <v>0</v>
      </c>
      <c r="X353" s="85">
        <f t="shared" si="267"/>
        <v>0</v>
      </c>
      <c r="Y353" s="85">
        <f t="shared" si="267"/>
        <v>0</v>
      </c>
      <c r="Z353" s="85">
        <f t="shared" si="267"/>
        <v>0</v>
      </c>
      <c r="AA353" s="85">
        <f t="shared" si="267"/>
        <v>0</v>
      </c>
      <c r="AB353" s="85">
        <f t="shared" si="267"/>
        <v>0</v>
      </c>
      <c r="AC353" s="150">
        <f t="shared" si="267"/>
        <v>0</v>
      </c>
      <c r="AD353" s="146">
        <f t="shared" si="227"/>
        <v>0</v>
      </c>
    </row>
    <row r="354" spans="1:182">
      <c r="A354" s="40"/>
      <c r="B354" s="10" t="s">
        <v>31</v>
      </c>
      <c r="C354" s="30"/>
      <c r="D354" s="31"/>
      <c r="E354" s="32"/>
      <c r="F354" s="33">
        <f>H354+I354+AD354</f>
        <v>3492.6019999999999</v>
      </c>
      <c r="G354" s="34">
        <v>0</v>
      </c>
      <c r="H354" s="33">
        <v>0</v>
      </c>
      <c r="I354" s="33">
        <f t="shared" si="262"/>
        <v>3492.6019999999999</v>
      </c>
      <c r="J354" s="33">
        <v>0</v>
      </c>
      <c r="K354" s="33">
        <v>0</v>
      </c>
      <c r="L354" s="33">
        <v>0</v>
      </c>
      <c r="M354" s="35">
        <v>0</v>
      </c>
      <c r="N354" s="86">
        <v>1698.4480000000001</v>
      </c>
      <c r="O354" s="89">
        <f>1677.201+5.265+38.087+73.601</f>
        <v>1794.154</v>
      </c>
      <c r="P354" s="87">
        <v>0</v>
      </c>
      <c r="Q354" s="87">
        <v>0</v>
      </c>
      <c r="R354" s="119">
        <f t="shared" si="264"/>
        <v>0</v>
      </c>
      <c r="S354" s="87">
        <v>0</v>
      </c>
      <c r="T354" s="87">
        <v>0</v>
      </c>
      <c r="U354" s="87">
        <v>0</v>
      </c>
      <c r="V354" s="87">
        <v>0</v>
      </c>
      <c r="W354" s="87">
        <v>0</v>
      </c>
      <c r="X354" s="87">
        <v>0</v>
      </c>
      <c r="Y354" s="87">
        <v>0</v>
      </c>
      <c r="Z354" s="87">
        <v>0</v>
      </c>
      <c r="AA354" s="87">
        <v>0</v>
      </c>
      <c r="AB354" s="87">
        <v>0</v>
      </c>
      <c r="AC354" s="161">
        <v>0</v>
      </c>
      <c r="AD354" s="148">
        <f t="shared" si="227"/>
        <v>0</v>
      </c>
    </row>
    <row r="355" spans="1:182">
      <c r="A355" s="40"/>
      <c r="B355" s="38" t="s">
        <v>41</v>
      </c>
      <c r="C355" s="30"/>
      <c r="D355" s="31"/>
      <c r="E355" s="32"/>
      <c r="F355" s="33">
        <f>H355+I355+AD355</f>
        <v>8786.6690000000017</v>
      </c>
      <c r="G355" s="34">
        <v>0</v>
      </c>
      <c r="H355" s="33">
        <v>0</v>
      </c>
      <c r="I355" s="33">
        <f t="shared" si="262"/>
        <v>8786.6690000000017</v>
      </c>
      <c r="J355" s="33">
        <v>0</v>
      </c>
      <c r="K355" s="33">
        <v>0</v>
      </c>
      <c r="L355" s="33">
        <v>0</v>
      </c>
      <c r="M355" s="33">
        <v>0</v>
      </c>
      <c r="N355" s="86">
        <v>3173.1840000000002</v>
      </c>
      <c r="O355" s="89">
        <f>225.273+188.773+5199.439</f>
        <v>5613.4850000000006</v>
      </c>
      <c r="P355" s="87">
        <v>0</v>
      </c>
      <c r="Q355" s="87">
        <v>0</v>
      </c>
      <c r="R355" s="119">
        <f t="shared" si="264"/>
        <v>0</v>
      </c>
      <c r="S355" s="87">
        <v>0</v>
      </c>
      <c r="T355" s="87">
        <v>0</v>
      </c>
      <c r="U355" s="87">
        <v>0</v>
      </c>
      <c r="V355" s="87">
        <v>0</v>
      </c>
      <c r="W355" s="87">
        <v>0</v>
      </c>
      <c r="X355" s="87">
        <v>0</v>
      </c>
      <c r="Y355" s="87">
        <v>0</v>
      </c>
      <c r="Z355" s="87">
        <v>0</v>
      </c>
      <c r="AA355" s="87">
        <v>0</v>
      </c>
      <c r="AB355" s="87">
        <v>0</v>
      </c>
      <c r="AC355" s="161">
        <v>0</v>
      </c>
      <c r="AD355" s="148">
        <f t="shared" si="227"/>
        <v>0</v>
      </c>
    </row>
    <row r="356" spans="1:182" ht="33.75">
      <c r="A356" s="20">
        <v>119</v>
      </c>
      <c r="B356" s="23" t="s">
        <v>363</v>
      </c>
      <c r="C356" s="24" t="s">
        <v>367</v>
      </c>
      <c r="D356" s="25" t="s">
        <v>231</v>
      </c>
      <c r="E356" s="26">
        <f>F357</f>
        <v>3317.5289999999995</v>
      </c>
      <c r="F356" s="27">
        <f>F357+F358</f>
        <v>6858.1479999999992</v>
      </c>
      <c r="G356" s="27">
        <f>G357+G358</f>
        <v>0</v>
      </c>
      <c r="H356" s="27">
        <f>H357+H358</f>
        <v>0</v>
      </c>
      <c r="I356" s="28">
        <f t="shared" si="262"/>
        <v>6858.1479999999992</v>
      </c>
      <c r="J356" s="27">
        <f t="shared" ref="J356:Q356" si="268">J357+J358</f>
        <v>0</v>
      </c>
      <c r="K356" s="27">
        <f t="shared" si="268"/>
        <v>0</v>
      </c>
      <c r="L356" s="27">
        <f t="shared" si="268"/>
        <v>0</v>
      </c>
      <c r="M356" s="27">
        <f t="shared" si="268"/>
        <v>0</v>
      </c>
      <c r="N356" s="85">
        <f t="shared" si="268"/>
        <v>4275.3369999999995</v>
      </c>
      <c r="O356" s="85">
        <f t="shared" si="268"/>
        <v>2582.8109999999997</v>
      </c>
      <c r="P356" s="85">
        <f t="shared" si="268"/>
        <v>0</v>
      </c>
      <c r="Q356" s="85">
        <f t="shared" si="268"/>
        <v>0</v>
      </c>
      <c r="R356" s="118">
        <f t="shared" si="264"/>
        <v>0</v>
      </c>
      <c r="S356" s="85">
        <f>S357+S358</f>
        <v>0</v>
      </c>
      <c r="T356" s="85">
        <f t="shared" ref="T356:AC356" si="269">T357+T358</f>
        <v>0</v>
      </c>
      <c r="U356" s="85">
        <f t="shared" si="269"/>
        <v>0</v>
      </c>
      <c r="V356" s="85">
        <f t="shared" si="269"/>
        <v>0</v>
      </c>
      <c r="W356" s="85">
        <f t="shared" si="269"/>
        <v>0</v>
      </c>
      <c r="X356" s="85">
        <f t="shared" si="269"/>
        <v>0</v>
      </c>
      <c r="Y356" s="85">
        <f t="shared" si="269"/>
        <v>0</v>
      </c>
      <c r="Z356" s="85">
        <f t="shared" si="269"/>
        <v>0</v>
      </c>
      <c r="AA356" s="85">
        <f t="shared" si="269"/>
        <v>0</v>
      </c>
      <c r="AB356" s="85">
        <f t="shared" si="269"/>
        <v>0</v>
      </c>
      <c r="AC356" s="150">
        <f t="shared" si="269"/>
        <v>0</v>
      </c>
      <c r="AD356" s="146">
        <f t="shared" si="227"/>
        <v>0</v>
      </c>
    </row>
    <row r="357" spans="1:182">
      <c r="A357" s="40"/>
      <c r="B357" s="10" t="s">
        <v>31</v>
      </c>
      <c r="C357" s="30"/>
      <c r="D357" s="31"/>
      <c r="E357" s="32"/>
      <c r="F357" s="33">
        <f>H357+I357+AD357</f>
        <v>3317.5289999999995</v>
      </c>
      <c r="G357" s="34">
        <v>0</v>
      </c>
      <c r="H357" s="33">
        <v>0</v>
      </c>
      <c r="I357" s="33">
        <f t="shared" si="262"/>
        <v>3317.5289999999995</v>
      </c>
      <c r="J357" s="33">
        <v>0</v>
      </c>
      <c r="K357" s="33">
        <v>0</v>
      </c>
      <c r="L357" s="33">
        <v>0</v>
      </c>
      <c r="M357" s="35">
        <v>0</v>
      </c>
      <c r="N357" s="86">
        <v>1990.4589999999998</v>
      </c>
      <c r="O357" s="89">
        <f>1004.796+239.674+79.569+3.031</f>
        <v>1327.07</v>
      </c>
      <c r="P357" s="87">
        <v>0</v>
      </c>
      <c r="Q357" s="87">
        <v>0</v>
      </c>
      <c r="R357" s="119">
        <f t="shared" si="264"/>
        <v>0</v>
      </c>
      <c r="S357" s="87">
        <v>0</v>
      </c>
      <c r="T357" s="87">
        <v>0</v>
      </c>
      <c r="U357" s="87">
        <v>0</v>
      </c>
      <c r="V357" s="87">
        <v>0</v>
      </c>
      <c r="W357" s="87">
        <v>0</v>
      </c>
      <c r="X357" s="87">
        <v>0</v>
      </c>
      <c r="Y357" s="87">
        <v>0</v>
      </c>
      <c r="Z357" s="87">
        <v>0</v>
      </c>
      <c r="AA357" s="87">
        <v>0</v>
      </c>
      <c r="AB357" s="87">
        <v>0</v>
      </c>
      <c r="AC357" s="161">
        <v>0</v>
      </c>
      <c r="AD357" s="148">
        <f t="shared" si="227"/>
        <v>0</v>
      </c>
    </row>
    <row r="358" spans="1:182">
      <c r="A358" s="40"/>
      <c r="B358" s="38" t="s">
        <v>41</v>
      </c>
      <c r="C358" s="30"/>
      <c r="D358" s="31"/>
      <c r="E358" s="32"/>
      <c r="F358" s="33">
        <f>H358+I358+AD358</f>
        <v>3540.6190000000001</v>
      </c>
      <c r="G358" s="34">
        <v>0</v>
      </c>
      <c r="H358" s="33">
        <v>0</v>
      </c>
      <c r="I358" s="33">
        <f t="shared" si="262"/>
        <v>3540.6190000000001</v>
      </c>
      <c r="J358" s="33">
        <v>0</v>
      </c>
      <c r="K358" s="33">
        <v>0</v>
      </c>
      <c r="L358" s="33">
        <v>0</v>
      </c>
      <c r="M358" s="33">
        <v>0</v>
      </c>
      <c r="N358" s="86">
        <v>2284.8780000000002</v>
      </c>
      <c r="O358" s="89">
        <f>325.156+930.585</f>
        <v>1255.741</v>
      </c>
      <c r="P358" s="87">
        <v>0</v>
      </c>
      <c r="Q358" s="87">
        <v>0</v>
      </c>
      <c r="R358" s="119">
        <f t="shared" si="264"/>
        <v>0</v>
      </c>
      <c r="S358" s="87">
        <v>0</v>
      </c>
      <c r="T358" s="87">
        <v>0</v>
      </c>
      <c r="U358" s="87">
        <v>0</v>
      </c>
      <c r="V358" s="87">
        <v>0</v>
      </c>
      <c r="W358" s="87">
        <v>0</v>
      </c>
      <c r="X358" s="87">
        <v>0</v>
      </c>
      <c r="Y358" s="87">
        <v>0</v>
      </c>
      <c r="Z358" s="87">
        <v>0</v>
      </c>
      <c r="AA358" s="87">
        <v>0</v>
      </c>
      <c r="AB358" s="87">
        <v>0</v>
      </c>
      <c r="AC358" s="161">
        <v>0</v>
      </c>
      <c r="AD358" s="148">
        <f t="shared" si="227"/>
        <v>0</v>
      </c>
    </row>
    <row r="359" spans="1:182" ht="33.75">
      <c r="A359" s="20">
        <v>120</v>
      </c>
      <c r="B359" s="105" t="s">
        <v>385</v>
      </c>
      <c r="C359" s="24" t="s">
        <v>386</v>
      </c>
      <c r="D359" s="25" t="s">
        <v>387</v>
      </c>
      <c r="E359" s="26">
        <f>F360</f>
        <v>73.420999999999992</v>
      </c>
      <c r="F359" s="27">
        <f>F360+F361</f>
        <v>585</v>
      </c>
      <c r="G359" s="27">
        <f>G360+G361</f>
        <v>0</v>
      </c>
      <c r="H359" s="27">
        <f>H360+H361</f>
        <v>0</v>
      </c>
      <c r="I359" s="28">
        <f t="shared" si="262"/>
        <v>570</v>
      </c>
      <c r="J359" s="27">
        <f t="shared" ref="J359:Q359" si="270">J360+J361</f>
        <v>0</v>
      </c>
      <c r="K359" s="27">
        <f t="shared" si="270"/>
        <v>0</v>
      </c>
      <c r="L359" s="27">
        <f t="shared" si="270"/>
        <v>0</v>
      </c>
      <c r="M359" s="27">
        <f t="shared" si="270"/>
        <v>0</v>
      </c>
      <c r="N359" s="85">
        <f t="shared" si="270"/>
        <v>0</v>
      </c>
      <c r="O359" s="85">
        <f t="shared" si="270"/>
        <v>570</v>
      </c>
      <c r="P359" s="85">
        <f t="shared" si="270"/>
        <v>15</v>
      </c>
      <c r="Q359" s="85">
        <f t="shared" si="270"/>
        <v>0</v>
      </c>
      <c r="R359" s="118">
        <v>0</v>
      </c>
      <c r="S359" s="85">
        <v>0</v>
      </c>
      <c r="T359" s="85">
        <v>0</v>
      </c>
      <c r="U359" s="85">
        <f t="shared" ref="U359:AC359" si="271">U360+U361</f>
        <v>0</v>
      </c>
      <c r="V359" s="85">
        <f t="shared" si="271"/>
        <v>0</v>
      </c>
      <c r="W359" s="85">
        <f t="shared" si="271"/>
        <v>0</v>
      </c>
      <c r="X359" s="85">
        <f t="shared" si="271"/>
        <v>0</v>
      </c>
      <c r="Y359" s="85">
        <f t="shared" si="271"/>
        <v>0</v>
      </c>
      <c r="Z359" s="85">
        <f t="shared" si="271"/>
        <v>0</v>
      </c>
      <c r="AA359" s="85">
        <f t="shared" si="271"/>
        <v>0</v>
      </c>
      <c r="AB359" s="85">
        <f t="shared" si="271"/>
        <v>0</v>
      </c>
      <c r="AC359" s="150">
        <f t="shared" si="271"/>
        <v>0</v>
      </c>
      <c r="AD359" s="146">
        <f t="shared" si="227"/>
        <v>15</v>
      </c>
    </row>
    <row r="360" spans="1:182">
      <c r="A360" s="40"/>
      <c r="B360" s="10" t="s">
        <v>31</v>
      </c>
      <c r="C360" s="30"/>
      <c r="D360" s="31"/>
      <c r="E360" s="32"/>
      <c r="F360" s="33">
        <f>H360+I360+AD360</f>
        <v>73.420999999999992</v>
      </c>
      <c r="G360" s="34">
        <v>0</v>
      </c>
      <c r="H360" s="33">
        <v>0</v>
      </c>
      <c r="I360" s="33">
        <f t="shared" si="262"/>
        <v>60</v>
      </c>
      <c r="J360" s="33">
        <v>0</v>
      </c>
      <c r="K360" s="33">
        <v>0</v>
      </c>
      <c r="L360" s="33">
        <v>0</v>
      </c>
      <c r="M360" s="35">
        <v>0</v>
      </c>
      <c r="N360" s="87">
        <v>0</v>
      </c>
      <c r="O360" s="87">
        <v>60</v>
      </c>
      <c r="P360" s="87">
        <v>13.420999999999999</v>
      </c>
      <c r="Q360" s="87">
        <v>0</v>
      </c>
      <c r="R360" s="119">
        <v>0</v>
      </c>
      <c r="S360" s="87">
        <v>0</v>
      </c>
      <c r="T360" s="87">
        <v>0</v>
      </c>
      <c r="U360" s="87">
        <v>0</v>
      </c>
      <c r="V360" s="87">
        <v>0</v>
      </c>
      <c r="W360" s="87">
        <v>0</v>
      </c>
      <c r="X360" s="87">
        <v>0</v>
      </c>
      <c r="Y360" s="87">
        <v>0</v>
      </c>
      <c r="Z360" s="87">
        <v>0</v>
      </c>
      <c r="AA360" s="87">
        <v>0</v>
      </c>
      <c r="AB360" s="87">
        <v>0</v>
      </c>
      <c r="AC360" s="161">
        <v>0</v>
      </c>
      <c r="AD360" s="148">
        <f t="shared" si="227"/>
        <v>13.420999999999999</v>
      </c>
    </row>
    <row r="361" spans="1:182">
      <c r="A361" s="40"/>
      <c r="B361" s="38" t="s">
        <v>41</v>
      </c>
      <c r="C361" s="30"/>
      <c r="D361" s="31"/>
      <c r="E361" s="32"/>
      <c r="F361" s="33">
        <f>H361+I361+AD361</f>
        <v>511.57900000000001</v>
      </c>
      <c r="G361" s="34">
        <v>0</v>
      </c>
      <c r="H361" s="33">
        <v>0</v>
      </c>
      <c r="I361" s="33">
        <f t="shared" si="262"/>
        <v>510</v>
      </c>
      <c r="J361" s="33">
        <v>0</v>
      </c>
      <c r="K361" s="33">
        <v>0</v>
      </c>
      <c r="L361" s="33">
        <v>0</v>
      </c>
      <c r="M361" s="33">
        <v>0</v>
      </c>
      <c r="N361" s="87">
        <v>0</v>
      </c>
      <c r="O361" s="87">
        <v>510</v>
      </c>
      <c r="P361" s="87">
        <v>1.579</v>
      </c>
      <c r="Q361" s="87">
        <v>0</v>
      </c>
      <c r="R361" s="119">
        <v>0</v>
      </c>
      <c r="S361" s="87">
        <v>0</v>
      </c>
      <c r="T361" s="87">
        <v>0</v>
      </c>
      <c r="U361" s="87">
        <v>0</v>
      </c>
      <c r="V361" s="87">
        <v>0</v>
      </c>
      <c r="W361" s="87">
        <v>0</v>
      </c>
      <c r="X361" s="87">
        <v>0</v>
      </c>
      <c r="Y361" s="87">
        <v>0</v>
      </c>
      <c r="Z361" s="87">
        <v>0</v>
      </c>
      <c r="AA361" s="87">
        <v>0</v>
      </c>
      <c r="AB361" s="87">
        <v>0</v>
      </c>
      <c r="AC361" s="161">
        <v>0</v>
      </c>
      <c r="AD361" s="148">
        <f t="shared" si="227"/>
        <v>1.579</v>
      </c>
    </row>
    <row r="362" spans="1:182" ht="29.25">
      <c r="A362" s="20">
        <v>121</v>
      </c>
      <c r="B362" s="23" t="s">
        <v>213</v>
      </c>
      <c r="C362" s="24" t="s">
        <v>214</v>
      </c>
      <c r="D362" s="25" t="s">
        <v>215</v>
      </c>
      <c r="E362" s="26">
        <f>F363</f>
        <v>9333.2209999999995</v>
      </c>
      <c r="F362" s="27">
        <f>F363</f>
        <v>9333.2209999999995</v>
      </c>
      <c r="G362" s="28">
        <f>G363</f>
        <v>181.80099999999999</v>
      </c>
      <c r="H362" s="28">
        <f>H363</f>
        <v>997.32500000000005</v>
      </c>
      <c r="I362" s="28">
        <f t="shared" si="262"/>
        <v>5416.0050000000001</v>
      </c>
      <c r="J362" s="27">
        <f>J363</f>
        <v>815.524</v>
      </c>
      <c r="K362" s="27">
        <f t="shared" ref="K362:Q362" si="272">K363</f>
        <v>2600</v>
      </c>
      <c r="L362" s="27">
        <f t="shared" si="272"/>
        <v>1494.444</v>
      </c>
      <c r="M362" s="27">
        <f t="shared" si="272"/>
        <v>692.88900000000001</v>
      </c>
      <c r="N362" s="85">
        <f t="shared" si="272"/>
        <v>352.94299999999998</v>
      </c>
      <c r="O362" s="85">
        <f t="shared" si="272"/>
        <v>275.72899999999998</v>
      </c>
      <c r="P362" s="85">
        <f t="shared" si="272"/>
        <v>2919.8910000000001</v>
      </c>
      <c r="Q362" s="85">
        <f t="shared" si="272"/>
        <v>0</v>
      </c>
      <c r="R362" s="118">
        <f t="shared" si="264"/>
        <v>0</v>
      </c>
      <c r="S362" s="85">
        <f>S363</f>
        <v>0</v>
      </c>
      <c r="T362" s="85">
        <f t="shared" ref="T362:AC362" si="273">T363</f>
        <v>0</v>
      </c>
      <c r="U362" s="85">
        <f t="shared" si="273"/>
        <v>0</v>
      </c>
      <c r="V362" s="85">
        <f t="shared" si="273"/>
        <v>0</v>
      </c>
      <c r="W362" s="85">
        <f t="shared" si="273"/>
        <v>0</v>
      </c>
      <c r="X362" s="85">
        <f t="shared" si="273"/>
        <v>0</v>
      </c>
      <c r="Y362" s="85">
        <f t="shared" si="273"/>
        <v>0</v>
      </c>
      <c r="Z362" s="85">
        <f t="shared" si="273"/>
        <v>0</v>
      </c>
      <c r="AA362" s="85">
        <f t="shared" si="273"/>
        <v>0</v>
      </c>
      <c r="AB362" s="85">
        <f t="shared" si="273"/>
        <v>0</v>
      </c>
      <c r="AC362" s="150">
        <f t="shared" si="273"/>
        <v>0</v>
      </c>
      <c r="AD362" s="146">
        <f t="shared" si="227"/>
        <v>2919.8910000000001</v>
      </c>
    </row>
    <row r="363" spans="1:182">
      <c r="A363" s="40"/>
      <c r="B363" s="10" t="s">
        <v>31</v>
      </c>
      <c r="C363" s="30"/>
      <c r="D363" s="31"/>
      <c r="E363" s="32"/>
      <c r="F363" s="33">
        <f>H363+I363+AD363</f>
        <v>9333.2209999999995</v>
      </c>
      <c r="G363" s="34">
        <v>181.80099999999999</v>
      </c>
      <c r="H363" s="33">
        <v>997.32500000000005</v>
      </c>
      <c r="I363" s="33">
        <f t="shared" si="262"/>
        <v>5416.0050000000001</v>
      </c>
      <c r="J363" s="33">
        <v>815.524</v>
      </c>
      <c r="K363" s="33">
        <v>2600</v>
      </c>
      <c r="L363" s="33">
        <v>1494.444</v>
      </c>
      <c r="M363" s="35">
        <f>946.24-253.351</f>
        <v>692.88900000000001</v>
      </c>
      <c r="N363" s="86">
        <v>352.94299999999998</v>
      </c>
      <c r="O363" s="87">
        <v>275.72899999999998</v>
      </c>
      <c r="P363" s="87">
        <v>2919.8910000000001</v>
      </c>
      <c r="Q363" s="87">
        <v>0</v>
      </c>
      <c r="R363" s="119">
        <f t="shared" si="264"/>
        <v>0</v>
      </c>
      <c r="S363" s="87">
        <v>0</v>
      </c>
      <c r="T363" s="87">
        <v>0</v>
      </c>
      <c r="U363" s="87">
        <v>0</v>
      </c>
      <c r="V363" s="87">
        <v>0</v>
      </c>
      <c r="W363" s="87">
        <v>0</v>
      </c>
      <c r="X363" s="87">
        <v>0</v>
      </c>
      <c r="Y363" s="87">
        <v>0</v>
      </c>
      <c r="Z363" s="87">
        <v>0</v>
      </c>
      <c r="AA363" s="87">
        <v>0</v>
      </c>
      <c r="AB363" s="87">
        <v>0</v>
      </c>
      <c r="AC363" s="161">
        <v>0</v>
      </c>
      <c r="AD363" s="148">
        <f t="shared" si="227"/>
        <v>2919.8910000000001</v>
      </c>
    </row>
    <row r="364" spans="1:182" ht="22.5">
      <c r="A364" s="20">
        <v>122</v>
      </c>
      <c r="B364" s="23" t="s">
        <v>216</v>
      </c>
      <c r="C364" s="24" t="s">
        <v>217</v>
      </c>
      <c r="D364" s="25" t="s">
        <v>81</v>
      </c>
      <c r="E364" s="26">
        <f>F365</f>
        <v>2377.3869999999997</v>
      </c>
      <c r="F364" s="27">
        <f>F365</f>
        <v>2377.3869999999997</v>
      </c>
      <c r="G364" s="28">
        <f>G365</f>
        <v>1831.33</v>
      </c>
      <c r="H364" s="28">
        <f>H365</f>
        <v>2261.33</v>
      </c>
      <c r="I364" s="28">
        <f t="shared" si="262"/>
        <v>116.057</v>
      </c>
      <c r="J364" s="27">
        <f>J365</f>
        <v>430</v>
      </c>
      <c r="K364" s="27">
        <f t="shared" ref="K364:Q364" si="274">K365</f>
        <v>0</v>
      </c>
      <c r="L364" s="27">
        <f t="shared" si="274"/>
        <v>60</v>
      </c>
      <c r="M364" s="27">
        <f t="shared" si="274"/>
        <v>56.057000000000002</v>
      </c>
      <c r="N364" s="85">
        <f t="shared" si="274"/>
        <v>0</v>
      </c>
      <c r="O364" s="85">
        <f t="shared" si="274"/>
        <v>0</v>
      </c>
      <c r="P364" s="85">
        <f t="shared" si="274"/>
        <v>0</v>
      </c>
      <c r="Q364" s="85">
        <f t="shared" si="274"/>
        <v>0</v>
      </c>
      <c r="R364" s="118">
        <f t="shared" si="264"/>
        <v>0</v>
      </c>
      <c r="S364" s="85">
        <f>S365</f>
        <v>0</v>
      </c>
      <c r="T364" s="85">
        <f t="shared" ref="T364:AC364" si="275">T365</f>
        <v>0</v>
      </c>
      <c r="U364" s="85">
        <f t="shared" si="275"/>
        <v>0</v>
      </c>
      <c r="V364" s="85">
        <f t="shared" si="275"/>
        <v>0</v>
      </c>
      <c r="W364" s="85">
        <f t="shared" si="275"/>
        <v>0</v>
      </c>
      <c r="X364" s="85">
        <f t="shared" si="275"/>
        <v>0</v>
      </c>
      <c r="Y364" s="85">
        <f t="shared" si="275"/>
        <v>0</v>
      </c>
      <c r="Z364" s="85">
        <f t="shared" si="275"/>
        <v>0</v>
      </c>
      <c r="AA364" s="85">
        <f t="shared" si="275"/>
        <v>0</v>
      </c>
      <c r="AB364" s="85">
        <f t="shared" si="275"/>
        <v>0</v>
      </c>
      <c r="AC364" s="150">
        <f t="shared" si="275"/>
        <v>0</v>
      </c>
      <c r="AD364" s="153">
        <f t="shared" si="227"/>
        <v>0</v>
      </c>
    </row>
    <row r="365" spans="1:182">
      <c r="A365" s="40"/>
      <c r="B365" s="10" t="s">
        <v>31</v>
      </c>
      <c r="C365" s="30"/>
      <c r="D365" s="31"/>
      <c r="E365" s="32"/>
      <c r="F365" s="33">
        <f>H365+I365+AD365</f>
        <v>2377.3869999999997</v>
      </c>
      <c r="G365" s="34">
        <v>1831.33</v>
      </c>
      <c r="H365" s="33">
        <v>2261.33</v>
      </c>
      <c r="I365" s="33">
        <f t="shared" si="262"/>
        <v>116.057</v>
      </c>
      <c r="J365" s="33">
        <v>430</v>
      </c>
      <c r="K365" s="33">
        <v>0</v>
      </c>
      <c r="L365" s="33">
        <v>60</v>
      </c>
      <c r="M365" s="35">
        <v>56.057000000000002</v>
      </c>
      <c r="N365" s="87">
        <v>0</v>
      </c>
      <c r="O365" s="87">
        <v>0</v>
      </c>
      <c r="P365" s="87">
        <v>0</v>
      </c>
      <c r="Q365" s="87">
        <v>0</v>
      </c>
      <c r="R365" s="119">
        <f t="shared" si="264"/>
        <v>0</v>
      </c>
      <c r="S365" s="87">
        <v>0</v>
      </c>
      <c r="T365" s="87">
        <v>0</v>
      </c>
      <c r="U365" s="87">
        <v>0</v>
      </c>
      <c r="V365" s="87">
        <v>0</v>
      </c>
      <c r="W365" s="87">
        <v>0</v>
      </c>
      <c r="X365" s="87">
        <v>0</v>
      </c>
      <c r="Y365" s="87">
        <v>0</v>
      </c>
      <c r="Z365" s="87">
        <v>0</v>
      </c>
      <c r="AA365" s="87">
        <v>0</v>
      </c>
      <c r="AB365" s="87">
        <v>0</v>
      </c>
      <c r="AC365" s="161">
        <v>0</v>
      </c>
      <c r="AD365" s="148">
        <f t="shared" si="227"/>
        <v>0</v>
      </c>
    </row>
    <row r="366" spans="1:182" ht="13.9" customHeight="1">
      <c r="A366" s="178" t="s">
        <v>218</v>
      </c>
      <c r="B366" s="179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99"/>
      <c r="O366" s="99"/>
      <c r="P366" s="99"/>
      <c r="Q366" s="99"/>
      <c r="R366" s="123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171"/>
      <c r="AD366" s="151">
        <f t="shared" si="227"/>
        <v>0</v>
      </c>
    </row>
    <row r="367" spans="1:182" ht="29.25">
      <c r="A367" s="20">
        <v>123</v>
      </c>
      <c r="B367" s="37" t="s">
        <v>219</v>
      </c>
      <c r="C367" s="24" t="s">
        <v>347</v>
      </c>
      <c r="D367" s="25" t="s">
        <v>192</v>
      </c>
      <c r="E367" s="26">
        <f>F368</f>
        <v>73974.053</v>
      </c>
      <c r="F367" s="27">
        <f>F368</f>
        <v>73974.053</v>
      </c>
      <c r="G367" s="28">
        <f>G368</f>
        <v>28364.203000000001</v>
      </c>
      <c r="H367" s="28">
        <f>H368</f>
        <v>30139.203000000001</v>
      </c>
      <c r="I367" s="28">
        <f>SUM(K367:O367)</f>
        <v>25754.85</v>
      </c>
      <c r="J367" s="27">
        <f>J368</f>
        <v>1775</v>
      </c>
      <c r="K367" s="27">
        <f t="shared" ref="K367:Q367" si="276">K368</f>
        <v>4098</v>
      </c>
      <c r="L367" s="27">
        <f t="shared" si="276"/>
        <v>4000</v>
      </c>
      <c r="M367" s="27">
        <f t="shared" si="276"/>
        <v>4616.49</v>
      </c>
      <c r="N367" s="85">
        <f t="shared" si="276"/>
        <v>389.61</v>
      </c>
      <c r="O367" s="85">
        <f t="shared" si="276"/>
        <v>12650.75</v>
      </c>
      <c r="P367" s="85">
        <f t="shared" si="276"/>
        <v>6345</v>
      </c>
      <c r="Q367" s="85">
        <f t="shared" si="276"/>
        <v>6445</v>
      </c>
      <c r="R367" s="118">
        <f>SUM(S367:AC367)</f>
        <v>5290</v>
      </c>
      <c r="S367" s="85">
        <f>S368</f>
        <v>5290</v>
      </c>
      <c r="T367" s="85">
        <f t="shared" ref="T367:AC367" si="277">T368</f>
        <v>0</v>
      </c>
      <c r="U367" s="85">
        <f t="shared" si="277"/>
        <v>0</v>
      </c>
      <c r="V367" s="85">
        <f t="shared" si="277"/>
        <v>0</v>
      </c>
      <c r="W367" s="85">
        <f t="shared" si="277"/>
        <v>0</v>
      </c>
      <c r="X367" s="85">
        <f t="shared" si="277"/>
        <v>0</v>
      </c>
      <c r="Y367" s="85">
        <f t="shared" si="277"/>
        <v>0</v>
      </c>
      <c r="Z367" s="85">
        <f t="shared" si="277"/>
        <v>0</v>
      </c>
      <c r="AA367" s="85">
        <f t="shared" si="277"/>
        <v>0</v>
      </c>
      <c r="AB367" s="85">
        <f t="shared" si="277"/>
        <v>0</v>
      </c>
      <c r="AC367" s="150">
        <f t="shared" si="277"/>
        <v>0</v>
      </c>
      <c r="AD367" s="146">
        <f t="shared" si="227"/>
        <v>18080</v>
      </c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</row>
    <row r="368" spans="1:182">
      <c r="A368" s="40"/>
      <c r="B368" s="10" t="s">
        <v>31</v>
      </c>
      <c r="C368" s="30"/>
      <c r="D368" s="31"/>
      <c r="E368" s="32"/>
      <c r="F368" s="33">
        <f>H368+I368+AD368</f>
        <v>73974.053</v>
      </c>
      <c r="G368" s="34">
        <v>28364.203000000001</v>
      </c>
      <c r="H368" s="33">
        <v>30139.203000000001</v>
      </c>
      <c r="I368" s="33">
        <f>SUM(K368:O368)</f>
        <v>25754.85</v>
      </c>
      <c r="J368" s="33">
        <v>1775</v>
      </c>
      <c r="K368" s="33">
        <v>4098</v>
      </c>
      <c r="L368" s="33">
        <v>4000</v>
      </c>
      <c r="M368" s="35">
        <f>4730-113.51</f>
        <v>4616.49</v>
      </c>
      <c r="N368" s="86">
        <v>389.61</v>
      </c>
      <c r="O368" s="87">
        <v>12650.75</v>
      </c>
      <c r="P368" s="87">
        <v>6345</v>
      </c>
      <c r="Q368" s="87">
        <v>6445</v>
      </c>
      <c r="R368" s="119">
        <f>SUM(S368:AC368)</f>
        <v>5290</v>
      </c>
      <c r="S368" s="87">
        <v>5290</v>
      </c>
      <c r="T368" s="87">
        <v>0</v>
      </c>
      <c r="U368" s="87">
        <v>0</v>
      </c>
      <c r="V368" s="87">
        <v>0</v>
      </c>
      <c r="W368" s="87">
        <v>0</v>
      </c>
      <c r="X368" s="87">
        <v>0</v>
      </c>
      <c r="Y368" s="87">
        <v>0</v>
      </c>
      <c r="Z368" s="87">
        <v>0</v>
      </c>
      <c r="AA368" s="87">
        <v>0</v>
      </c>
      <c r="AB368" s="87">
        <v>0</v>
      </c>
      <c r="AC368" s="161">
        <v>0</v>
      </c>
      <c r="AD368" s="148">
        <f t="shared" si="227"/>
        <v>18080</v>
      </c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</row>
    <row r="369" spans="1:182" ht="13.9" customHeight="1">
      <c r="A369" s="50" t="s">
        <v>220</v>
      </c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97"/>
      <c r="O369" s="97"/>
      <c r="P369" s="97"/>
      <c r="Q369" s="97"/>
      <c r="R369" s="121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169"/>
      <c r="AD369" s="151">
        <f t="shared" si="227"/>
        <v>0</v>
      </c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</row>
    <row r="370" spans="1:182" ht="33.75">
      <c r="A370" s="20">
        <v>124</v>
      </c>
      <c r="B370" s="37" t="s">
        <v>221</v>
      </c>
      <c r="C370" s="24" t="s">
        <v>160</v>
      </c>
      <c r="D370" s="25" t="s">
        <v>44</v>
      </c>
      <c r="E370" s="26">
        <f>F371</f>
        <v>25721.132999999998</v>
      </c>
      <c r="F370" s="27">
        <f>F371</f>
        <v>25721.132999999998</v>
      </c>
      <c r="G370" s="28">
        <f>G371</f>
        <v>20984.920999999998</v>
      </c>
      <c r="H370" s="28">
        <f>H371</f>
        <v>23353.026999999998</v>
      </c>
      <c r="I370" s="28">
        <f t="shared" ref="I370:I382" si="278">SUM(K370:O370)</f>
        <v>2368.1060000000002</v>
      </c>
      <c r="J370" s="27">
        <f>J371</f>
        <v>2368.1060000000002</v>
      </c>
      <c r="K370" s="27">
        <f t="shared" ref="K370:AD370" si="279">K371</f>
        <v>2368.1060000000002</v>
      </c>
      <c r="L370" s="27">
        <f t="shared" si="279"/>
        <v>0</v>
      </c>
      <c r="M370" s="27">
        <f t="shared" si="279"/>
        <v>0</v>
      </c>
      <c r="N370" s="85">
        <f t="shared" si="279"/>
        <v>0</v>
      </c>
      <c r="O370" s="85">
        <f t="shared" si="279"/>
        <v>0</v>
      </c>
      <c r="P370" s="85">
        <f t="shared" si="279"/>
        <v>0</v>
      </c>
      <c r="Q370" s="85">
        <f t="shared" si="279"/>
        <v>0</v>
      </c>
      <c r="R370" s="118">
        <f t="shared" si="279"/>
        <v>0</v>
      </c>
      <c r="S370" s="85">
        <f t="shared" si="279"/>
        <v>0</v>
      </c>
      <c r="T370" s="85">
        <f t="shared" si="279"/>
        <v>0</v>
      </c>
      <c r="U370" s="85">
        <f t="shared" si="279"/>
        <v>0</v>
      </c>
      <c r="V370" s="85">
        <f t="shared" si="279"/>
        <v>0</v>
      </c>
      <c r="W370" s="85">
        <f t="shared" si="279"/>
        <v>0</v>
      </c>
      <c r="X370" s="85">
        <f t="shared" si="279"/>
        <v>0</v>
      </c>
      <c r="Y370" s="85">
        <f t="shared" si="279"/>
        <v>0</v>
      </c>
      <c r="Z370" s="85">
        <f t="shared" si="279"/>
        <v>0</v>
      </c>
      <c r="AA370" s="85">
        <f t="shared" si="279"/>
        <v>0</v>
      </c>
      <c r="AB370" s="85">
        <f t="shared" si="279"/>
        <v>0</v>
      </c>
      <c r="AC370" s="150">
        <f t="shared" si="279"/>
        <v>0</v>
      </c>
      <c r="AD370" s="146">
        <f t="shared" si="279"/>
        <v>0</v>
      </c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</row>
    <row r="371" spans="1:182">
      <c r="A371" s="40"/>
      <c r="B371" s="10" t="s">
        <v>31</v>
      </c>
      <c r="C371" s="30"/>
      <c r="D371" s="31"/>
      <c r="E371" s="32"/>
      <c r="F371" s="33">
        <f>H371+I371+AD371</f>
        <v>25721.132999999998</v>
      </c>
      <c r="G371" s="34">
        <v>20984.920999999998</v>
      </c>
      <c r="H371" s="33">
        <v>23353.026999999998</v>
      </c>
      <c r="I371" s="33">
        <f t="shared" si="278"/>
        <v>2368.1060000000002</v>
      </c>
      <c r="J371" s="33">
        <v>2368.1060000000002</v>
      </c>
      <c r="K371" s="33">
        <v>2368.1060000000002</v>
      </c>
      <c r="L371" s="33">
        <v>0</v>
      </c>
      <c r="M371" s="33">
        <v>0</v>
      </c>
      <c r="N371" s="87">
        <v>0</v>
      </c>
      <c r="O371" s="87">
        <v>0</v>
      </c>
      <c r="P371" s="87">
        <v>0</v>
      </c>
      <c r="Q371" s="87">
        <v>0</v>
      </c>
      <c r="R371" s="119">
        <f t="shared" ref="R371:R382" si="280">SUM(S371:AC371)</f>
        <v>0</v>
      </c>
      <c r="S371" s="87">
        <v>0</v>
      </c>
      <c r="T371" s="87">
        <v>0</v>
      </c>
      <c r="U371" s="87">
        <v>0</v>
      </c>
      <c r="V371" s="87">
        <v>0</v>
      </c>
      <c r="W371" s="87">
        <v>0</v>
      </c>
      <c r="X371" s="87">
        <v>0</v>
      </c>
      <c r="Y371" s="87">
        <v>0</v>
      </c>
      <c r="Z371" s="87">
        <v>0</v>
      </c>
      <c r="AA371" s="87">
        <v>0</v>
      </c>
      <c r="AB371" s="87">
        <v>0</v>
      </c>
      <c r="AC371" s="161">
        <v>0</v>
      </c>
      <c r="AD371" s="148">
        <f t="shared" si="227"/>
        <v>0</v>
      </c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</row>
    <row r="372" spans="1:182" ht="48" customHeight="1">
      <c r="A372" s="20">
        <v>125</v>
      </c>
      <c r="B372" s="37" t="s">
        <v>317</v>
      </c>
      <c r="C372" s="24" t="s">
        <v>318</v>
      </c>
      <c r="D372" s="25" t="s">
        <v>101</v>
      </c>
      <c r="E372" s="26">
        <f>F373</f>
        <v>158.602</v>
      </c>
      <c r="F372" s="27">
        <f>F373</f>
        <v>158.602</v>
      </c>
      <c r="G372" s="28">
        <f>G373</f>
        <v>0</v>
      </c>
      <c r="H372" s="28">
        <f>H373</f>
        <v>0</v>
      </c>
      <c r="I372" s="28">
        <f t="shared" si="278"/>
        <v>158.602</v>
      </c>
      <c r="J372" s="27">
        <f>J373</f>
        <v>0</v>
      </c>
      <c r="K372" s="27">
        <f t="shared" ref="K372:AD372" si="281">K373</f>
        <v>0</v>
      </c>
      <c r="L372" s="27">
        <f t="shared" si="281"/>
        <v>0</v>
      </c>
      <c r="M372" s="27">
        <f t="shared" si="281"/>
        <v>150.976</v>
      </c>
      <c r="N372" s="85">
        <f t="shared" si="281"/>
        <v>7.6260000000000048</v>
      </c>
      <c r="O372" s="85">
        <f t="shared" si="281"/>
        <v>0</v>
      </c>
      <c r="P372" s="85">
        <f t="shared" si="281"/>
        <v>0</v>
      </c>
      <c r="Q372" s="85">
        <f t="shared" si="281"/>
        <v>0</v>
      </c>
      <c r="R372" s="118">
        <f t="shared" si="281"/>
        <v>0</v>
      </c>
      <c r="S372" s="85">
        <f t="shared" si="281"/>
        <v>0</v>
      </c>
      <c r="T372" s="85">
        <f t="shared" si="281"/>
        <v>0</v>
      </c>
      <c r="U372" s="85">
        <f t="shared" si="281"/>
        <v>0</v>
      </c>
      <c r="V372" s="85">
        <f t="shared" si="281"/>
        <v>0</v>
      </c>
      <c r="W372" s="85">
        <f t="shared" si="281"/>
        <v>0</v>
      </c>
      <c r="X372" s="85">
        <f t="shared" si="281"/>
        <v>0</v>
      </c>
      <c r="Y372" s="85">
        <f t="shared" si="281"/>
        <v>0</v>
      </c>
      <c r="Z372" s="85">
        <f t="shared" si="281"/>
        <v>0</v>
      </c>
      <c r="AA372" s="85">
        <f t="shared" si="281"/>
        <v>0</v>
      </c>
      <c r="AB372" s="85">
        <f t="shared" si="281"/>
        <v>0</v>
      </c>
      <c r="AC372" s="150">
        <f t="shared" si="281"/>
        <v>0</v>
      </c>
      <c r="AD372" s="149">
        <f t="shared" si="281"/>
        <v>0</v>
      </c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</row>
    <row r="373" spans="1:182">
      <c r="A373" s="40"/>
      <c r="B373" s="10" t="s">
        <v>31</v>
      </c>
      <c r="C373" s="30"/>
      <c r="D373" s="31"/>
      <c r="E373" s="32"/>
      <c r="F373" s="33">
        <f>H373+I373+AD373</f>
        <v>158.602</v>
      </c>
      <c r="G373" s="34">
        <v>0</v>
      </c>
      <c r="H373" s="33">
        <v>0</v>
      </c>
      <c r="I373" s="33">
        <f t="shared" si="278"/>
        <v>158.602</v>
      </c>
      <c r="J373" s="33">
        <v>0</v>
      </c>
      <c r="K373" s="33">
        <v>0</v>
      </c>
      <c r="L373" s="33">
        <v>0</v>
      </c>
      <c r="M373" s="33">
        <v>150.976</v>
      </c>
      <c r="N373" s="87">
        <f>140.836-133.21</f>
        <v>7.6260000000000048</v>
      </c>
      <c r="O373" s="87">
        <v>0</v>
      </c>
      <c r="P373" s="87">
        <v>0</v>
      </c>
      <c r="Q373" s="87">
        <v>0</v>
      </c>
      <c r="R373" s="119">
        <f>SUM(S373:AC373)</f>
        <v>0</v>
      </c>
      <c r="S373" s="87">
        <v>0</v>
      </c>
      <c r="T373" s="87">
        <v>0</v>
      </c>
      <c r="U373" s="87">
        <v>0</v>
      </c>
      <c r="V373" s="87">
        <v>0</v>
      </c>
      <c r="W373" s="87">
        <v>0</v>
      </c>
      <c r="X373" s="87">
        <v>0</v>
      </c>
      <c r="Y373" s="87">
        <v>0</v>
      </c>
      <c r="Z373" s="87">
        <v>0</v>
      </c>
      <c r="AA373" s="87">
        <v>0</v>
      </c>
      <c r="AB373" s="87">
        <v>0</v>
      </c>
      <c r="AC373" s="161">
        <v>0</v>
      </c>
      <c r="AD373" s="148">
        <f>P373+Q373+R373</f>
        <v>0</v>
      </c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</row>
    <row r="374" spans="1:182" ht="22.5">
      <c r="A374" s="20">
        <v>126</v>
      </c>
      <c r="B374" s="23" t="s">
        <v>222</v>
      </c>
      <c r="C374" s="24" t="s">
        <v>223</v>
      </c>
      <c r="D374" s="47" t="s">
        <v>99</v>
      </c>
      <c r="E374" s="26">
        <f>F375</f>
        <v>11.375000000000007</v>
      </c>
      <c r="F374" s="27">
        <f>F375+F376</f>
        <v>26.250000000000064</v>
      </c>
      <c r="G374" s="27">
        <f>G375+G376</f>
        <v>0</v>
      </c>
      <c r="H374" s="27">
        <f>H375+H376</f>
        <v>0</v>
      </c>
      <c r="I374" s="28">
        <f t="shared" si="278"/>
        <v>26.250000000000064</v>
      </c>
      <c r="J374" s="27">
        <f t="shared" ref="J374:Q374" si="282">J375+J376</f>
        <v>0</v>
      </c>
      <c r="K374" s="27">
        <f t="shared" si="282"/>
        <v>0</v>
      </c>
      <c r="L374" s="27">
        <f t="shared" si="282"/>
        <v>0</v>
      </c>
      <c r="M374" s="27">
        <f t="shared" si="282"/>
        <v>17.500000000000064</v>
      </c>
      <c r="N374" s="85">
        <f t="shared" si="282"/>
        <v>8.75</v>
      </c>
      <c r="O374" s="85">
        <f t="shared" si="282"/>
        <v>0</v>
      </c>
      <c r="P374" s="85">
        <f t="shared" si="282"/>
        <v>0</v>
      </c>
      <c r="Q374" s="85">
        <f t="shared" si="282"/>
        <v>0</v>
      </c>
      <c r="R374" s="118">
        <f t="shared" si="280"/>
        <v>0</v>
      </c>
      <c r="S374" s="85">
        <f>S375+S376</f>
        <v>0</v>
      </c>
      <c r="T374" s="85">
        <f t="shared" ref="T374:AC374" si="283">T375+T376</f>
        <v>0</v>
      </c>
      <c r="U374" s="85">
        <f t="shared" si="283"/>
        <v>0</v>
      </c>
      <c r="V374" s="85">
        <f t="shared" si="283"/>
        <v>0</v>
      </c>
      <c r="W374" s="85">
        <f t="shared" si="283"/>
        <v>0</v>
      </c>
      <c r="X374" s="85">
        <f t="shared" si="283"/>
        <v>0</v>
      </c>
      <c r="Y374" s="85">
        <f t="shared" si="283"/>
        <v>0</v>
      </c>
      <c r="Z374" s="85">
        <f t="shared" si="283"/>
        <v>0</v>
      </c>
      <c r="AA374" s="85">
        <f t="shared" si="283"/>
        <v>0</v>
      </c>
      <c r="AB374" s="85">
        <f t="shared" si="283"/>
        <v>0</v>
      </c>
      <c r="AC374" s="150">
        <f t="shared" si="283"/>
        <v>0</v>
      </c>
      <c r="AD374" s="146">
        <f t="shared" si="227"/>
        <v>0</v>
      </c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</row>
    <row r="375" spans="1:182">
      <c r="A375" s="29"/>
      <c r="B375" s="10" t="s">
        <v>31</v>
      </c>
      <c r="C375" s="33"/>
      <c r="D375" s="33"/>
      <c r="E375" s="33"/>
      <c r="F375" s="33">
        <f>H375+I375+AD375</f>
        <v>11.375000000000007</v>
      </c>
      <c r="G375" s="33">
        <v>0</v>
      </c>
      <c r="H375" s="33">
        <v>0</v>
      </c>
      <c r="I375" s="33">
        <f t="shared" si="278"/>
        <v>11.375000000000007</v>
      </c>
      <c r="J375" s="11">
        <v>0</v>
      </c>
      <c r="K375" s="11">
        <v>0</v>
      </c>
      <c r="L375" s="42">
        <v>0</v>
      </c>
      <c r="M375" s="12">
        <f>67.674-1.476-63.573</f>
        <v>2.6250000000000071</v>
      </c>
      <c r="N375" s="90">
        <v>8.75</v>
      </c>
      <c r="O375" s="90">
        <v>0</v>
      </c>
      <c r="P375" s="91">
        <v>0</v>
      </c>
      <c r="Q375" s="91">
        <v>0</v>
      </c>
      <c r="R375" s="119">
        <f t="shared" si="280"/>
        <v>0</v>
      </c>
      <c r="S375" s="91">
        <v>0</v>
      </c>
      <c r="T375" s="91">
        <v>0</v>
      </c>
      <c r="U375" s="91">
        <v>0</v>
      </c>
      <c r="V375" s="91">
        <v>0</v>
      </c>
      <c r="W375" s="91">
        <v>0</v>
      </c>
      <c r="X375" s="91">
        <v>0</v>
      </c>
      <c r="Y375" s="91">
        <v>0</v>
      </c>
      <c r="Z375" s="91">
        <v>0</v>
      </c>
      <c r="AA375" s="91">
        <v>0</v>
      </c>
      <c r="AB375" s="91">
        <v>0</v>
      </c>
      <c r="AC375" s="163">
        <v>0</v>
      </c>
      <c r="AD375" s="148">
        <f t="shared" si="227"/>
        <v>0</v>
      </c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</row>
    <row r="376" spans="1:182">
      <c r="A376" s="29"/>
      <c r="B376" s="38" t="s">
        <v>41</v>
      </c>
      <c r="C376" s="33"/>
      <c r="D376" s="33"/>
      <c r="E376" s="33"/>
      <c r="F376" s="33">
        <f>H376+I376+AD376</f>
        <v>14.875000000000057</v>
      </c>
      <c r="G376" s="33">
        <v>0</v>
      </c>
      <c r="H376" s="33">
        <v>0</v>
      </c>
      <c r="I376" s="33">
        <f t="shared" si="278"/>
        <v>14.875000000000057</v>
      </c>
      <c r="J376" s="11">
        <v>0</v>
      </c>
      <c r="K376" s="11">
        <v>0</v>
      </c>
      <c r="L376" s="42">
        <v>0</v>
      </c>
      <c r="M376" s="12">
        <f>383.49-8.364-360.251</f>
        <v>14.875000000000057</v>
      </c>
      <c r="N376" s="90">
        <v>0</v>
      </c>
      <c r="O376" s="90">
        <v>0</v>
      </c>
      <c r="P376" s="91">
        <v>0</v>
      </c>
      <c r="Q376" s="91">
        <v>0</v>
      </c>
      <c r="R376" s="119">
        <f t="shared" si="280"/>
        <v>0</v>
      </c>
      <c r="S376" s="91">
        <v>0</v>
      </c>
      <c r="T376" s="91">
        <v>0</v>
      </c>
      <c r="U376" s="91">
        <v>0</v>
      </c>
      <c r="V376" s="91">
        <v>0</v>
      </c>
      <c r="W376" s="91">
        <v>0</v>
      </c>
      <c r="X376" s="91">
        <v>0</v>
      </c>
      <c r="Y376" s="91">
        <v>0</v>
      </c>
      <c r="Z376" s="91">
        <v>0</v>
      </c>
      <c r="AA376" s="91">
        <v>0</v>
      </c>
      <c r="AB376" s="91">
        <v>0</v>
      </c>
      <c r="AC376" s="163">
        <v>0</v>
      </c>
      <c r="AD376" s="148">
        <f t="shared" si="227"/>
        <v>0</v>
      </c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</row>
    <row r="377" spans="1:182" ht="32.25" customHeight="1">
      <c r="A377" s="20">
        <v>127</v>
      </c>
      <c r="B377" s="23" t="s">
        <v>224</v>
      </c>
      <c r="C377" s="24" t="s">
        <v>330</v>
      </c>
      <c r="D377" s="25" t="s">
        <v>60</v>
      </c>
      <c r="E377" s="26">
        <f>F378</f>
        <v>634.29999999999995</v>
      </c>
      <c r="F377" s="27">
        <f>F378+F379</f>
        <v>634.29999999999995</v>
      </c>
      <c r="G377" s="27">
        <f>G378+G379</f>
        <v>0</v>
      </c>
      <c r="H377" s="27">
        <f>H378+H379</f>
        <v>0</v>
      </c>
      <c r="I377" s="28">
        <f t="shared" si="278"/>
        <v>634.29999999999995</v>
      </c>
      <c r="J377" s="27">
        <f t="shared" ref="J377:Q377" si="284">J378+J379</f>
        <v>0</v>
      </c>
      <c r="K377" s="27">
        <f t="shared" si="284"/>
        <v>0</v>
      </c>
      <c r="L377" s="27">
        <f t="shared" si="284"/>
        <v>550</v>
      </c>
      <c r="M377" s="27">
        <f t="shared" si="284"/>
        <v>84.3</v>
      </c>
      <c r="N377" s="85">
        <f t="shared" si="284"/>
        <v>0</v>
      </c>
      <c r="O377" s="85">
        <f t="shared" si="284"/>
        <v>0</v>
      </c>
      <c r="P377" s="85">
        <f t="shared" si="284"/>
        <v>0</v>
      </c>
      <c r="Q377" s="85">
        <f t="shared" si="284"/>
        <v>0</v>
      </c>
      <c r="R377" s="118">
        <f t="shared" si="280"/>
        <v>0</v>
      </c>
      <c r="S377" s="85">
        <f>S378+S379</f>
        <v>0</v>
      </c>
      <c r="T377" s="85">
        <f t="shared" ref="T377:AC377" si="285">T378+T379</f>
        <v>0</v>
      </c>
      <c r="U377" s="85">
        <f t="shared" si="285"/>
        <v>0</v>
      </c>
      <c r="V377" s="85">
        <f t="shared" si="285"/>
        <v>0</v>
      </c>
      <c r="W377" s="85">
        <f t="shared" si="285"/>
        <v>0</v>
      </c>
      <c r="X377" s="85">
        <f t="shared" si="285"/>
        <v>0</v>
      </c>
      <c r="Y377" s="85">
        <f t="shared" si="285"/>
        <v>0</v>
      </c>
      <c r="Z377" s="85">
        <f t="shared" si="285"/>
        <v>0</v>
      </c>
      <c r="AA377" s="85">
        <f t="shared" si="285"/>
        <v>0</v>
      </c>
      <c r="AB377" s="85">
        <f t="shared" si="285"/>
        <v>0</v>
      </c>
      <c r="AC377" s="150">
        <f t="shared" si="285"/>
        <v>0</v>
      </c>
      <c r="AD377" s="146">
        <f t="shared" si="227"/>
        <v>0</v>
      </c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</row>
    <row r="378" spans="1:182">
      <c r="A378" s="40"/>
      <c r="B378" s="10" t="s">
        <v>31</v>
      </c>
      <c r="C378" s="30"/>
      <c r="D378" s="31"/>
      <c r="E378" s="32"/>
      <c r="F378" s="33">
        <f>H378+I378+AD378</f>
        <v>634.29999999999995</v>
      </c>
      <c r="G378" s="34">
        <v>0</v>
      </c>
      <c r="H378" s="33">
        <v>0</v>
      </c>
      <c r="I378" s="33">
        <f t="shared" si="278"/>
        <v>634.29999999999995</v>
      </c>
      <c r="J378" s="33">
        <v>0</v>
      </c>
      <c r="K378" s="11">
        <v>0</v>
      </c>
      <c r="L378" s="33">
        <v>550</v>
      </c>
      <c r="M378" s="35">
        <v>84.3</v>
      </c>
      <c r="N378" s="86">
        <v>0</v>
      </c>
      <c r="O378" s="86">
        <v>0</v>
      </c>
      <c r="P378" s="87">
        <v>0</v>
      </c>
      <c r="Q378" s="87">
        <v>0</v>
      </c>
      <c r="R378" s="119">
        <f t="shared" si="280"/>
        <v>0</v>
      </c>
      <c r="S378" s="87">
        <v>0</v>
      </c>
      <c r="T378" s="87">
        <v>0</v>
      </c>
      <c r="U378" s="87">
        <v>0</v>
      </c>
      <c r="V378" s="87">
        <v>0</v>
      </c>
      <c r="W378" s="87">
        <v>0</v>
      </c>
      <c r="X378" s="87">
        <v>0</v>
      </c>
      <c r="Y378" s="87">
        <v>0</v>
      </c>
      <c r="Z378" s="87">
        <v>0</v>
      </c>
      <c r="AA378" s="87">
        <v>0</v>
      </c>
      <c r="AB378" s="87">
        <v>0</v>
      </c>
      <c r="AC378" s="161">
        <v>0</v>
      </c>
      <c r="AD378" s="152">
        <f t="shared" si="227"/>
        <v>0</v>
      </c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</row>
    <row r="379" spans="1:182">
      <c r="A379" s="40"/>
      <c r="B379" s="38" t="s">
        <v>41</v>
      </c>
      <c r="C379" s="30"/>
      <c r="D379" s="31"/>
      <c r="E379" s="32"/>
      <c r="F379" s="33">
        <f>H379+I379+AD379</f>
        <v>0</v>
      </c>
      <c r="G379" s="34">
        <v>0</v>
      </c>
      <c r="H379" s="33">
        <v>0</v>
      </c>
      <c r="I379" s="33">
        <f t="shared" si="278"/>
        <v>0</v>
      </c>
      <c r="J379" s="33">
        <v>0</v>
      </c>
      <c r="K379" s="11">
        <v>0</v>
      </c>
      <c r="L379" s="33">
        <v>0</v>
      </c>
      <c r="M379" s="35">
        <v>0</v>
      </c>
      <c r="N379" s="86">
        <v>0</v>
      </c>
      <c r="O379" s="86">
        <v>0</v>
      </c>
      <c r="P379" s="87">
        <v>0</v>
      </c>
      <c r="Q379" s="87">
        <v>0</v>
      </c>
      <c r="R379" s="119">
        <f t="shared" si="280"/>
        <v>0</v>
      </c>
      <c r="S379" s="87">
        <v>0</v>
      </c>
      <c r="T379" s="87">
        <v>0</v>
      </c>
      <c r="U379" s="87">
        <v>0</v>
      </c>
      <c r="V379" s="87">
        <v>0</v>
      </c>
      <c r="W379" s="87">
        <v>0</v>
      </c>
      <c r="X379" s="87">
        <v>0</v>
      </c>
      <c r="Y379" s="87">
        <v>0</v>
      </c>
      <c r="Z379" s="87">
        <v>0</v>
      </c>
      <c r="AA379" s="87">
        <v>0</v>
      </c>
      <c r="AB379" s="87">
        <v>0</v>
      </c>
      <c r="AC379" s="161">
        <v>0</v>
      </c>
      <c r="AD379" s="152">
        <f t="shared" si="227"/>
        <v>0</v>
      </c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</row>
    <row r="380" spans="1:182" ht="33.75">
      <c r="A380" s="20">
        <v>128</v>
      </c>
      <c r="B380" s="23" t="s">
        <v>322</v>
      </c>
      <c r="C380" s="24" t="s">
        <v>308</v>
      </c>
      <c r="D380" s="25" t="s">
        <v>102</v>
      </c>
      <c r="E380" s="26">
        <f>F381</f>
        <v>139.52000000000001</v>
      </c>
      <c r="F380" s="27">
        <f>F381+F382</f>
        <v>866.30600000000004</v>
      </c>
      <c r="G380" s="27">
        <f>G381+G382</f>
        <v>0</v>
      </c>
      <c r="H380" s="27">
        <f>H381+H382</f>
        <v>0</v>
      </c>
      <c r="I380" s="28">
        <f t="shared" si="278"/>
        <v>866.30600000000004</v>
      </c>
      <c r="J380" s="27">
        <f t="shared" ref="J380:Q380" si="286">J381+J382</f>
        <v>0</v>
      </c>
      <c r="K380" s="27">
        <f t="shared" si="286"/>
        <v>0</v>
      </c>
      <c r="L380" s="27">
        <f t="shared" si="286"/>
        <v>0</v>
      </c>
      <c r="M380" s="27">
        <f t="shared" si="286"/>
        <v>0</v>
      </c>
      <c r="N380" s="85">
        <f t="shared" si="286"/>
        <v>453.37700000000001</v>
      </c>
      <c r="O380" s="85">
        <f t="shared" si="286"/>
        <v>412.92899999999997</v>
      </c>
      <c r="P380" s="85">
        <f t="shared" si="286"/>
        <v>0</v>
      </c>
      <c r="Q380" s="85">
        <f t="shared" si="286"/>
        <v>0</v>
      </c>
      <c r="R380" s="118">
        <f t="shared" si="280"/>
        <v>0</v>
      </c>
      <c r="S380" s="85">
        <f>S381+S382</f>
        <v>0</v>
      </c>
      <c r="T380" s="85">
        <f t="shared" ref="T380:AC380" si="287">T381+T382</f>
        <v>0</v>
      </c>
      <c r="U380" s="85">
        <f t="shared" si="287"/>
        <v>0</v>
      </c>
      <c r="V380" s="85">
        <f t="shared" si="287"/>
        <v>0</v>
      </c>
      <c r="W380" s="85">
        <f t="shared" si="287"/>
        <v>0</v>
      </c>
      <c r="X380" s="85">
        <f t="shared" si="287"/>
        <v>0</v>
      </c>
      <c r="Y380" s="85">
        <f t="shared" si="287"/>
        <v>0</v>
      </c>
      <c r="Z380" s="85">
        <f t="shared" si="287"/>
        <v>0</v>
      </c>
      <c r="AA380" s="85">
        <f t="shared" si="287"/>
        <v>0</v>
      </c>
      <c r="AB380" s="85">
        <f t="shared" si="287"/>
        <v>0</v>
      </c>
      <c r="AC380" s="150">
        <f t="shared" si="287"/>
        <v>0</v>
      </c>
      <c r="AD380" s="146">
        <f t="shared" si="227"/>
        <v>0</v>
      </c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</row>
    <row r="381" spans="1:182">
      <c r="A381" s="40"/>
      <c r="B381" s="10" t="s">
        <v>31</v>
      </c>
      <c r="C381" s="30"/>
      <c r="D381" s="31"/>
      <c r="E381" s="32"/>
      <c r="F381" s="33">
        <f>H381+I381+AD381</f>
        <v>139.52000000000001</v>
      </c>
      <c r="G381" s="34">
        <v>0</v>
      </c>
      <c r="H381" s="33">
        <v>0</v>
      </c>
      <c r="I381" s="33">
        <f t="shared" si="278"/>
        <v>139.52000000000001</v>
      </c>
      <c r="J381" s="33">
        <v>0</v>
      </c>
      <c r="K381" s="11">
        <v>0</v>
      </c>
      <c r="L381" s="33">
        <v>0</v>
      </c>
      <c r="M381" s="35">
        <f>0.375-0.375</f>
        <v>0</v>
      </c>
      <c r="N381" s="86">
        <v>68.007000000000005</v>
      </c>
      <c r="O381" s="89">
        <f>0.206+71.274+0.033</f>
        <v>71.513000000000005</v>
      </c>
      <c r="P381" s="87">
        <v>0</v>
      </c>
      <c r="Q381" s="87">
        <v>0</v>
      </c>
      <c r="R381" s="119">
        <f t="shared" si="280"/>
        <v>0</v>
      </c>
      <c r="S381" s="87">
        <v>0</v>
      </c>
      <c r="T381" s="87">
        <v>0</v>
      </c>
      <c r="U381" s="87">
        <v>0</v>
      </c>
      <c r="V381" s="87">
        <v>0</v>
      </c>
      <c r="W381" s="87">
        <v>0</v>
      </c>
      <c r="X381" s="87">
        <v>0</v>
      </c>
      <c r="Y381" s="87">
        <v>0</v>
      </c>
      <c r="Z381" s="87">
        <v>0</v>
      </c>
      <c r="AA381" s="87">
        <v>0</v>
      </c>
      <c r="AB381" s="87">
        <v>0</v>
      </c>
      <c r="AC381" s="161">
        <v>0</v>
      </c>
      <c r="AD381" s="152">
        <f t="shared" si="227"/>
        <v>0</v>
      </c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</row>
    <row r="382" spans="1:182">
      <c r="A382" s="40"/>
      <c r="B382" s="38" t="s">
        <v>41</v>
      </c>
      <c r="C382" s="30"/>
      <c r="D382" s="31"/>
      <c r="E382" s="32"/>
      <c r="F382" s="33">
        <f>H382+I382+AD382</f>
        <v>726.78600000000006</v>
      </c>
      <c r="G382" s="34">
        <v>0</v>
      </c>
      <c r="H382" s="33">
        <v>0</v>
      </c>
      <c r="I382" s="33">
        <f t="shared" si="278"/>
        <v>726.78600000000006</v>
      </c>
      <c r="J382" s="33">
        <v>0</v>
      </c>
      <c r="K382" s="11">
        <v>0</v>
      </c>
      <c r="L382" s="33">
        <v>0</v>
      </c>
      <c r="M382" s="35">
        <f>2.125-2.125</f>
        <v>0</v>
      </c>
      <c r="N382" s="86">
        <v>385.37</v>
      </c>
      <c r="O382" s="86">
        <f>187+153.251+1.165</f>
        <v>341.416</v>
      </c>
      <c r="P382" s="87">
        <v>0</v>
      </c>
      <c r="Q382" s="87">
        <v>0</v>
      </c>
      <c r="R382" s="119">
        <f t="shared" si="280"/>
        <v>0</v>
      </c>
      <c r="S382" s="87">
        <v>0</v>
      </c>
      <c r="T382" s="87">
        <v>0</v>
      </c>
      <c r="U382" s="87">
        <v>0</v>
      </c>
      <c r="V382" s="87">
        <v>0</v>
      </c>
      <c r="W382" s="87">
        <v>0</v>
      </c>
      <c r="X382" s="87">
        <v>0</v>
      </c>
      <c r="Y382" s="87">
        <v>0</v>
      </c>
      <c r="Z382" s="87">
        <v>0</v>
      </c>
      <c r="AA382" s="87">
        <v>0</v>
      </c>
      <c r="AB382" s="87">
        <v>0</v>
      </c>
      <c r="AC382" s="161">
        <v>0</v>
      </c>
      <c r="AD382" s="152">
        <f t="shared" si="227"/>
        <v>0</v>
      </c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</row>
    <row r="383" spans="1:182" ht="33.75">
      <c r="A383" s="51">
        <v>129</v>
      </c>
      <c r="B383" s="37" t="s">
        <v>354</v>
      </c>
      <c r="C383" s="24" t="s">
        <v>436</v>
      </c>
      <c r="D383" s="47" t="s">
        <v>151</v>
      </c>
      <c r="E383" s="26">
        <f>F384</f>
        <v>6903.6659999999993</v>
      </c>
      <c r="F383" s="27">
        <f>F384+F385</f>
        <v>10715.3</v>
      </c>
      <c r="G383" s="27">
        <f>G384+G385</f>
        <v>0</v>
      </c>
      <c r="H383" s="27">
        <f>H384+H385</f>
        <v>0</v>
      </c>
      <c r="I383" s="28">
        <f t="shared" ref="I383:I388" si="288">SUM(K383:O383)</f>
        <v>10715.3</v>
      </c>
      <c r="J383" s="27">
        <f t="shared" ref="J383:Q383" si="289">J384+J385</f>
        <v>0</v>
      </c>
      <c r="K383" s="27">
        <f t="shared" si="289"/>
        <v>0</v>
      </c>
      <c r="L383" s="27">
        <f t="shared" si="289"/>
        <v>0</v>
      </c>
      <c r="M383" s="27">
        <f t="shared" si="289"/>
        <v>0</v>
      </c>
      <c r="N383" s="85">
        <f t="shared" si="289"/>
        <v>2967.5729999999999</v>
      </c>
      <c r="O383" s="85">
        <f t="shared" si="289"/>
        <v>7747.7269999999999</v>
      </c>
      <c r="P383" s="85">
        <f t="shared" si="289"/>
        <v>0</v>
      </c>
      <c r="Q383" s="85">
        <f t="shared" si="289"/>
        <v>0</v>
      </c>
      <c r="R383" s="118">
        <f t="shared" ref="R383:R388" si="290">SUM(S383:AC383)</f>
        <v>0</v>
      </c>
      <c r="S383" s="85">
        <f>S384+S385</f>
        <v>0</v>
      </c>
      <c r="T383" s="85">
        <f t="shared" ref="T383:AC383" si="291">T384+T385</f>
        <v>0</v>
      </c>
      <c r="U383" s="85">
        <f t="shared" si="291"/>
        <v>0</v>
      </c>
      <c r="V383" s="85">
        <f t="shared" si="291"/>
        <v>0</v>
      </c>
      <c r="W383" s="85">
        <f t="shared" si="291"/>
        <v>0</v>
      </c>
      <c r="X383" s="85">
        <f t="shared" si="291"/>
        <v>0</v>
      </c>
      <c r="Y383" s="85">
        <f t="shared" si="291"/>
        <v>0</v>
      </c>
      <c r="Z383" s="85">
        <f t="shared" si="291"/>
        <v>0</v>
      </c>
      <c r="AA383" s="85">
        <f t="shared" si="291"/>
        <v>0</v>
      </c>
      <c r="AB383" s="85">
        <f t="shared" si="291"/>
        <v>0</v>
      </c>
      <c r="AC383" s="150">
        <f t="shared" si="291"/>
        <v>0</v>
      </c>
      <c r="AD383" s="146">
        <f t="shared" si="227"/>
        <v>0</v>
      </c>
    </row>
    <row r="384" spans="1:182">
      <c r="A384" s="40"/>
      <c r="B384" s="10" t="s">
        <v>31</v>
      </c>
      <c r="C384" s="30"/>
      <c r="D384" s="31"/>
      <c r="E384" s="32"/>
      <c r="F384" s="33">
        <f>H384+I384+AD384</f>
        <v>6903.6659999999993</v>
      </c>
      <c r="G384" s="34">
        <v>0</v>
      </c>
      <c r="H384" s="33">
        <v>0</v>
      </c>
      <c r="I384" s="33">
        <f t="shared" si="288"/>
        <v>6903.6659999999993</v>
      </c>
      <c r="J384" s="33">
        <v>0</v>
      </c>
      <c r="K384" s="33">
        <v>0</v>
      </c>
      <c r="L384" s="33">
        <v>0</v>
      </c>
      <c r="M384" s="35">
        <v>0</v>
      </c>
      <c r="N384" s="87">
        <v>1904.7339999999999</v>
      </c>
      <c r="O384" s="87">
        <f>2734.968+2263.964</f>
        <v>4998.9319999999998</v>
      </c>
      <c r="P384" s="87">
        <v>0</v>
      </c>
      <c r="Q384" s="87">
        <v>0</v>
      </c>
      <c r="R384" s="119">
        <f t="shared" si="290"/>
        <v>0</v>
      </c>
      <c r="S384" s="87">
        <v>0</v>
      </c>
      <c r="T384" s="87">
        <v>0</v>
      </c>
      <c r="U384" s="87">
        <v>0</v>
      </c>
      <c r="V384" s="87">
        <v>0</v>
      </c>
      <c r="W384" s="87">
        <v>0</v>
      </c>
      <c r="X384" s="87">
        <v>0</v>
      </c>
      <c r="Y384" s="87">
        <v>0</v>
      </c>
      <c r="Z384" s="87">
        <v>0</v>
      </c>
      <c r="AA384" s="87">
        <v>0</v>
      </c>
      <c r="AB384" s="87">
        <v>0</v>
      </c>
      <c r="AC384" s="161">
        <v>0</v>
      </c>
      <c r="AD384" s="152">
        <f t="shared" si="227"/>
        <v>0</v>
      </c>
    </row>
    <row r="385" spans="1:182">
      <c r="A385" s="40"/>
      <c r="B385" s="38" t="s">
        <v>41</v>
      </c>
      <c r="C385" s="30"/>
      <c r="D385" s="31"/>
      <c r="E385" s="32"/>
      <c r="F385" s="33">
        <f>H385+I385+AD385</f>
        <v>3811.634</v>
      </c>
      <c r="G385" s="34">
        <v>0</v>
      </c>
      <c r="H385" s="33">
        <v>0</v>
      </c>
      <c r="I385" s="33">
        <f t="shared" si="288"/>
        <v>3811.634</v>
      </c>
      <c r="J385" s="33">
        <v>0</v>
      </c>
      <c r="K385" s="33">
        <v>0</v>
      </c>
      <c r="L385" s="33">
        <v>0</v>
      </c>
      <c r="M385" s="33">
        <v>0</v>
      </c>
      <c r="N385" s="87">
        <v>1062.8389999999999</v>
      </c>
      <c r="O385" s="87">
        <v>2748.7950000000001</v>
      </c>
      <c r="P385" s="87">
        <v>0</v>
      </c>
      <c r="Q385" s="87">
        <v>0</v>
      </c>
      <c r="R385" s="119">
        <f t="shared" si="290"/>
        <v>0</v>
      </c>
      <c r="S385" s="87">
        <v>0</v>
      </c>
      <c r="T385" s="87">
        <v>0</v>
      </c>
      <c r="U385" s="87">
        <v>0</v>
      </c>
      <c r="V385" s="87">
        <v>0</v>
      </c>
      <c r="W385" s="87">
        <v>0</v>
      </c>
      <c r="X385" s="87">
        <v>0</v>
      </c>
      <c r="Y385" s="87">
        <v>0</v>
      </c>
      <c r="Z385" s="87">
        <v>0</v>
      </c>
      <c r="AA385" s="87">
        <v>0</v>
      </c>
      <c r="AB385" s="87">
        <v>0</v>
      </c>
      <c r="AC385" s="161">
        <v>0</v>
      </c>
      <c r="AD385" s="152">
        <f t="shared" si="227"/>
        <v>0</v>
      </c>
    </row>
    <row r="386" spans="1:182" ht="33.75">
      <c r="A386" s="20">
        <v>130</v>
      </c>
      <c r="B386" s="23" t="s">
        <v>309</v>
      </c>
      <c r="C386" s="24" t="s">
        <v>308</v>
      </c>
      <c r="D386" s="25" t="s">
        <v>102</v>
      </c>
      <c r="E386" s="26">
        <f>F387</f>
        <v>92.72999999999999</v>
      </c>
      <c r="F386" s="27">
        <f>F387+F388</f>
        <v>662.23700000000008</v>
      </c>
      <c r="G386" s="27">
        <f>G387+G388</f>
        <v>0</v>
      </c>
      <c r="H386" s="27">
        <f>H387+H388</f>
        <v>0</v>
      </c>
      <c r="I386" s="28">
        <f t="shared" si="288"/>
        <v>662.23700000000008</v>
      </c>
      <c r="J386" s="27">
        <f t="shared" ref="J386:Q386" si="292">J387+J388</f>
        <v>0</v>
      </c>
      <c r="K386" s="27">
        <f t="shared" si="292"/>
        <v>0</v>
      </c>
      <c r="L386" s="27">
        <f t="shared" si="292"/>
        <v>0</v>
      </c>
      <c r="M386" s="27">
        <f t="shared" si="292"/>
        <v>0</v>
      </c>
      <c r="N386" s="85">
        <f t="shared" si="292"/>
        <v>386.48200000000003</v>
      </c>
      <c r="O386" s="85">
        <f t="shared" si="292"/>
        <v>275.755</v>
      </c>
      <c r="P386" s="85">
        <f t="shared" si="292"/>
        <v>0</v>
      </c>
      <c r="Q386" s="85">
        <f t="shared" si="292"/>
        <v>0</v>
      </c>
      <c r="R386" s="118">
        <f t="shared" si="290"/>
        <v>0</v>
      </c>
      <c r="S386" s="85">
        <f>S387+S388</f>
        <v>0</v>
      </c>
      <c r="T386" s="85">
        <f t="shared" ref="T386:AC386" si="293">T387+T388</f>
        <v>0</v>
      </c>
      <c r="U386" s="85">
        <f t="shared" si="293"/>
        <v>0</v>
      </c>
      <c r="V386" s="85">
        <f t="shared" si="293"/>
        <v>0</v>
      </c>
      <c r="W386" s="85">
        <f t="shared" si="293"/>
        <v>0</v>
      </c>
      <c r="X386" s="85">
        <f t="shared" si="293"/>
        <v>0</v>
      </c>
      <c r="Y386" s="85">
        <f t="shared" si="293"/>
        <v>0</v>
      </c>
      <c r="Z386" s="85">
        <f t="shared" si="293"/>
        <v>0</v>
      </c>
      <c r="AA386" s="85">
        <f t="shared" si="293"/>
        <v>0</v>
      </c>
      <c r="AB386" s="85">
        <f t="shared" si="293"/>
        <v>0</v>
      </c>
      <c r="AC386" s="150">
        <f t="shared" si="293"/>
        <v>0</v>
      </c>
      <c r="AD386" s="146">
        <f t="shared" si="227"/>
        <v>0</v>
      </c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</row>
    <row r="387" spans="1:182">
      <c r="A387" s="40"/>
      <c r="B387" s="10" t="s">
        <v>31</v>
      </c>
      <c r="C387" s="30"/>
      <c r="D387" s="31"/>
      <c r="E387" s="32"/>
      <c r="F387" s="33">
        <f>H387+I387+AD387</f>
        <v>92.72999999999999</v>
      </c>
      <c r="G387" s="34">
        <v>0</v>
      </c>
      <c r="H387" s="33">
        <v>0</v>
      </c>
      <c r="I387" s="33">
        <f t="shared" si="288"/>
        <v>92.72999999999999</v>
      </c>
      <c r="J387" s="33">
        <v>0</v>
      </c>
      <c r="K387" s="11">
        <v>0</v>
      </c>
      <c r="L387" s="33">
        <v>0</v>
      </c>
      <c r="M387" s="35">
        <f>0.3-0.3</f>
        <v>0</v>
      </c>
      <c r="N387" s="86">
        <v>57.972999999999999</v>
      </c>
      <c r="O387" s="89">
        <v>34.756999999999998</v>
      </c>
      <c r="P387" s="87">
        <v>0</v>
      </c>
      <c r="Q387" s="87">
        <v>0</v>
      </c>
      <c r="R387" s="119">
        <f t="shared" si="290"/>
        <v>0</v>
      </c>
      <c r="S387" s="87">
        <v>0</v>
      </c>
      <c r="T387" s="87">
        <v>0</v>
      </c>
      <c r="U387" s="87">
        <v>0</v>
      </c>
      <c r="V387" s="87">
        <v>0</v>
      </c>
      <c r="W387" s="87">
        <v>0</v>
      </c>
      <c r="X387" s="87">
        <v>0</v>
      </c>
      <c r="Y387" s="87">
        <v>0</v>
      </c>
      <c r="Z387" s="87">
        <v>0</v>
      </c>
      <c r="AA387" s="87">
        <v>0</v>
      </c>
      <c r="AB387" s="87">
        <v>0</v>
      </c>
      <c r="AC387" s="161">
        <v>0</v>
      </c>
      <c r="AD387" s="152">
        <f t="shared" si="227"/>
        <v>0</v>
      </c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</row>
    <row r="388" spans="1:182">
      <c r="A388" s="40"/>
      <c r="B388" s="38" t="s">
        <v>41</v>
      </c>
      <c r="C388" s="30"/>
      <c r="D388" s="31"/>
      <c r="E388" s="32"/>
      <c r="F388" s="33">
        <f>H388+I388+AD388</f>
        <v>569.50700000000006</v>
      </c>
      <c r="G388" s="34">
        <v>0</v>
      </c>
      <c r="H388" s="33">
        <v>0</v>
      </c>
      <c r="I388" s="33">
        <f t="shared" si="288"/>
        <v>569.50700000000006</v>
      </c>
      <c r="J388" s="33">
        <v>0</v>
      </c>
      <c r="K388" s="11">
        <v>0</v>
      </c>
      <c r="L388" s="33">
        <v>0</v>
      </c>
      <c r="M388" s="35">
        <f>1.7-1.7</f>
        <v>0</v>
      </c>
      <c r="N388" s="86">
        <v>328.50900000000001</v>
      </c>
      <c r="O388" s="86">
        <v>240.99799999999999</v>
      </c>
      <c r="P388" s="87">
        <v>0</v>
      </c>
      <c r="Q388" s="87">
        <v>0</v>
      </c>
      <c r="R388" s="119">
        <f t="shared" si="290"/>
        <v>0</v>
      </c>
      <c r="S388" s="87">
        <v>0</v>
      </c>
      <c r="T388" s="87">
        <v>0</v>
      </c>
      <c r="U388" s="87">
        <v>0</v>
      </c>
      <c r="V388" s="87">
        <v>0</v>
      </c>
      <c r="W388" s="87">
        <v>0</v>
      </c>
      <c r="X388" s="87">
        <v>0</v>
      </c>
      <c r="Y388" s="87">
        <v>0</v>
      </c>
      <c r="Z388" s="87">
        <v>0</v>
      </c>
      <c r="AA388" s="87">
        <v>0</v>
      </c>
      <c r="AB388" s="87">
        <v>0</v>
      </c>
      <c r="AC388" s="161">
        <v>0</v>
      </c>
      <c r="AD388" s="152">
        <f t="shared" si="227"/>
        <v>0</v>
      </c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</row>
    <row r="389" spans="1:182" ht="13.9" customHeight="1">
      <c r="A389" s="50" t="s">
        <v>225</v>
      </c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97"/>
      <c r="O389" s="97"/>
      <c r="P389" s="97"/>
      <c r="Q389" s="97"/>
      <c r="R389" s="121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169"/>
      <c r="AD389" s="151">
        <f t="shared" si="227"/>
        <v>0</v>
      </c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</row>
    <row r="390" spans="1:182" ht="22.5">
      <c r="A390" s="20">
        <v>131</v>
      </c>
      <c r="B390" s="23" t="s">
        <v>226</v>
      </c>
      <c r="C390" s="24" t="s">
        <v>227</v>
      </c>
      <c r="D390" s="25" t="s">
        <v>228</v>
      </c>
      <c r="E390" s="26">
        <f>F391</f>
        <v>722234.75399999996</v>
      </c>
      <c r="F390" s="27">
        <f>F391+F392+F393</f>
        <v>835135.75399999996</v>
      </c>
      <c r="G390" s="28">
        <v>774055.93400000001</v>
      </c>
      <c r="H390" s="28">
        <v>802626.00699999998</v>
      </c>
      <c r="I390" s="28">
        <f t="shared" ref="I390:I417" si="294">SUM(K390:O390)</f>
        <v>32509.746999999999</v>
      </c>
      <c r="J390" s="27">
        <f>J391+J392+J393</f>
        <v>28570.073</v>
      </c>
      <c r="K390" s="27">
        <f t="shared" ref="K390:Q390" si="295">K391+K392+K393</f>
        <v>14626.067999999999</v>
      </c>
      <c r="L390" s="27">
        <f t="shared" si="295"/>
        <v>15320.647999999999</v>
      </c>
      <c r="M390" s="27">
        <f t="shared" si="295"/>
        <v>2563.0309999999999</v>
      </c>
      <c r="N390" s="85">
        <f t="shared" si="295"/>
        <v>0</v>
      </c>
      <c r="O390" s="85">
        <f t="shared" si="295"/>
        <v>0</v>
      </c>
      <c r="P390" s="85">
        <f t="shared" si="295"/>
        <v>0</v>
      </c>
      <c r="Q390" s="85">
        <f t="shared" si="295"/>
        <v>0</v>
      </c>
      <c r="R390" s="118">
        <f t="shared" ref="R390:R417" si="296">SUM(S390:AC390)</f>
        <v>0</v>
      </c>
      <c r="S390" s="85">
        <f>S391+S392+S393</f>
        <v>0</v>
      </c>
      <c r="T390" s="85">
        <f t="shared" ref="T390:AC390" si="297">T391+T392+T393</f>
        <v>0</v>
      </c>
      <c r="U390" s="85">
        <f t="shared" si="297"/>
        <v>0</v>
      </c>
      <c r="V390" s="85">
        <f t="shared" si="297"/>
        <v>0</v>
      </c>
      <c r="W390" s="85">
        <f t="shared" si="297"/>
        <v>0</v>
      </c>
      <c r="X390" s="85">
        <f t="shared" si="297"/>
        <v>0</v>
      </c>
      <c r="Y390" s="85">
        <f t="shared" si="297"/>
        <v>0</v>
      </c>
      <c r="Z390" s="85">
        <f t="shared" si="297"/>
        <v>0</v>
      </c>
      <c r="AA390" s="85">
        <f t="shared" si="297"/>
        <v>0</v>
      </c>
      <c r="AB390" s="85">
        <f t="shared" si="297"/>
        <v>0</v>
      </c>
      <c r="AC390" s="150">
        <f t="shared" si="297"/>
        <v>0</v>
      </c>
      <c r="AD390" s="146">
        <f t="shared" si="227"/>
        <v>0</v>
      </c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</row>
    <row r="391" spans="1:182">
      <c r="A391" s="40"/>
      <c r="B391" s="10" t="s">
        <v>31</v>
      </c>
      <c r="C391" s="30"/>
      <c r="D391" s="31"/>
      <c r="E391" s="32"/>
      <c r="F391" s="33">
        <f>H391+I391+AD391</f>
        <v>722234.75399999996</v>
      </c>
      <c r="G391" s="34">
        <v>661154.93400000001</v>
      </c>
      <c r="H391" s="33">
        <v>689725.00699999998</v>
      </c>
      <c r="I391" s="33">
        <f t="shared" si="294"/>
        <v>32509.746999999999</v>
      </c>
      <c r="J391" s="33">
        <v>28570.073</v>
      </c>
      <c r="K391" s="33">
        <v>14626.067999999999</v>
      </c>
      <c r="L391" s="33">
        <v>15320.647999999999</v>
      </c>
      <c r="M391" s="33">
        <v>2563.0309999999999</v>
      </c>
      <c r="N391" s="87">
        <v>0</v>
      </c>
      <c r="O391" s="87">
        <v>0</v>
      </c>
      <c r="P391" s="87">
        <v>0</v>
      </c>
      <c r="Q391" s="87">
        <v>0</v>
      </c>
      <c r="R391" s="119">
        <f t="shared" si="296"/>
        <v>0</v>
      </c>
      <c r="S391" s="87">
        <v>0</v>
      </c>
      <c r="T391" s="87">
        <v>0</v>
      </c>
      <c r="U391" s="87">
        <v>0</v>
      </c>
      <c r="V391" s="87">
        <v>0</v>
      </c>
      <c r="W391" s="87">
        <v>0</v>
      </c>
      <c r="X391" s="87">
        <v>0</v>
      </c>
      <c r="Y391" s="87">
        <v>0</v>
      </c>
      <c r="Z391" s="87">
        <v>0</v>
      </c>
      <c r="AA391" s="87">
        <v>0</v>
      </c>
      <c r="AB391" s="87">
        <v>0</v>
      </c>
      <c r="AC391" s="161">
        <v>0</v>
      </c>
      <c r="AD391" s="148">
        <f t="shared" si="227"/>
        <v>0</v>
      </c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</row>
    <row r="392" spans="1:182">
      <c r="A392" s="40"/>
      <c r="B392" s="10" t="s">
        <v>41</v>
      </c>
      <c r="C392" s="30"/>
      <c r="D392" s="31"/>
      <c r="E392" s="32"/>
      <c r="F392" s="33">
        <f>H392+I392+AD392</f>
        <v>99931</v>
      </c>
      <c r="G392" s="34">
        <v>99931</v>
      </c>
      <c r="H392" s="33">
        <v>99931</v>
      </c>
      <c r="I392" s="33">
        <f t="shared" si="294"/>
        <v>0</v>
      </c>
      <c r="J392" s="33">
        <v>0</v>
      </c>
      <c r="K392" s="33">
        <v>0</v>
      </c>
      <c r="L392" s="33">
        <v>0</v>
      </c>
      <c r="M392" s="33">
        <v>0</v>
      </c>
      <c r="N392" s="87">
        <v>0</v>
      </c>
      <c r="O392" s="87">
        <v>0</v>
      </c>
      <c r="P392" s="87">
        <v>0</v>
      </c>
      <c r="Q392" s="87">
        <v>0</v>
      </c>
      <c r="R392" s="119">
        <f t="shared" si="296"/>
        <v>0</v>
      </c>
      <c r="S392" s="87">
        <v>0</v>
      </c>
      <c r="T392" s="87">
        <v>0</v>
      </c>
      <c r="U392" s="87">
        <v>0</v>
      </c>
      <c r="V392" s="87">
        <v>0</v>
      </c>
      <c r="W392" s="87">
        <v>0</v>
      </c>
      <c r="X392" s="87">
        <v>0</v>
      </c>
      <c r="Y392" s="87">
        <v>0</v>
      </c>
      <c r="Z392" s="87">
        <v>0</v>
      </c>
      <c r="AA392" s="87">
        <v>0</v>
      </c>
      <c r="AB392" s="87">
        <v>0</v>
      </c>
      <c r="AC392" s="161">
        <v>0</v>
      </c>
      <c r="AD392" s="148">
        <f t="shared" si="227"/>
        <v>0</v>
      </c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  <c r="FF392" s="9"/>
      <c r="FG392" s="9"/>
      <c r="FH392" s="9"/>
      <c r="FI392" s="9"/>
      <c r="FJ392" s="9"/>
      <c r="FK392" s="9"/>
      <c r="FL392" s="9"/>
      <c r="FM392" s="9"/>
      <c r="FN392" s="9"/>
      <c r="FO392" s="9"/>
      <c r="FP392" s="9"/>
      <c r="FQ392" s="9"/>
      <c r="FR392" s="9"/>
      <c r="FS392" s="9"/>
      <c r="FT392" s="9"/>
      <c r="FU392" s="9"/>
      <c r="FV392" s="9"/>
      <c r="FW392" s="9"/>
      <c r="FX392" s="9"/>
      <c r="FY392" s="9"/>
      <c r="FZ392" s="9"/>
    </row>
    <row r="393" spans="1:182">
      <c r="A393" s="40"/>
      <c r="B393" s="10" t="s">
        <v>229</v>
      </c>
      <c r="C393" s="30"/>
      <c r="D393" s="31"/>
      <c r="E393" s="32"/>
      <c r="F393" s="33">
        <f>H393+I393+AD393</f>
        <v>12970</v>
      </c>
      <c r="G393" s="34">
        <v>12970</v>
      </c>
      <c r="H393" s="33">
        <v>12970</v>
      </c>
      <c r="I393" s="33">
        <f t="shared" si="294"/>
        <v>0</v>
      </c>
      <c r="J393" s="33">
        <v>0</v>
      </c>
      <c r="K393" s="33">
        <v>0</v>
      </c>
      <c r="L393" s="33">
        <v>0</v>
      </c>
      <c r="M393" s="33">
        <v>0</v>
      </c>
      <c r="N393" s="87">
        <v>0</v>
      </c>
      <c r="O393" s="87">
        <v>0</v>
      </c>
      <c r="P393" s="87">
        <v>0</v>
      </c>
      <c r="Q393" s="87">
        <v>0</v>
      </c>
      <c r="R393" s="119">
        <f t="shared" si="296"/>
        <v>0</v>
      </c>
      <c r="S393" s="87">
        <v>0</v>
      </c>
      <c r="T393" s="87">
        <v>0</v>
      </c>
      <c r="U393" s="87">
        <v>0</v>
      </c>
      <c r="V393" s="87">
        <v>0</v>
      </c>
      <c r="W393" s="87">
        <v>0</v>
      </c>
      <c r="X393" s="87">
        <v>0</v>
      </c>
      <c r="Y393" s="87">
        <v>0</v>
      </c>
      <c r="Z393" s="87">
        <v>0</v>
      </c>
      <c r="AA393" s="87">
        <v>0</v>
      </c>
      <c r="AB393" s="87">
        <v>0</v>
      </c>
      <c r="AC393" s="161">
        <v>0</v>
      </c>
      <c r="AD393" s="148">
        <f t="shared" si="227"/>
        <v>0</v>
      </c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  <c r="EY393" s="9"/>
      <c r="EZ393" s="9"/>
      <c r="FA393" s="9"/>
      <c r="FB393" s="9"/>
      <c r="FC393" s="9"/>
      <c r="FD393" s="9"/>
      <c r="FE393" s="9"/>
      <c r="FF393" s="9"/>
      <c r="FG393" s="9"/>
      <c r="FH393" s="9"/>
      <c r="FI393" s="9"/>
      <c r="FJ393" s="9"/>
      <c r="FK393" s="9"/>
      <c r="FL393" s="9"/>
      <c r="FM393" s="9"/>
      <c r="FN393" s="9"/>
      <c r="FO393" s="9"/>
      <c r="FP393" s="9"/>
      <c r="FQ393" s="9"/>
      <c r="FR393" s="9"/>
      <c r="FS393" s="9"/>
      <c r="FT393" s="9"/>
      <c r="FU393" s="9"/>
      <c r="FV393" s="9"/>
      <c r="FW393" s="9"/>
      <c r="FX393" s="9"/>
      <c r="FY393" s="9"/>
      <c r="FZ393" s="9"/>
    </row>
    <row r="394" spans="1:182" ht="29.25" customHeight="1">
      <c r="A394" s="20">
        <v>132</v>
      </c>
      <c r="B394" s="37" t="s">
        <v>230</v>
      </c>
      <c r="C394" s="24" t="s">
        <v>414</v>
      </c>
      <c r="D394" s="25" t="s">
        <v>425</v>
      </c>
      <c r="E394" s="26">
        <f>F395</f>
        <v>25313.857</v>
      </c>
      <c r="F394" s="27">
        <f>F395+F396</f>
        <v>31859.457000000002</v>
      </c>
      <c r="G394" s="27">
        <f>G395+G396</f>
        <v>17230.900000000001</v>
      </c>
      <c r="H394" s="27">
        <f>H395+H396</f>
        <v>19490.161</v>
      </c>
      <c r="I394" s="28">
        <f t="shared" si="294"/>
        <v>11304.796</v>
      </c>
      <c r="J394" s="27">
        <f t="shared" ref="J394:Q394" si="298">J395+J396</f>
        <v>2259.261</v>
      </c>
      <c r="K394" s="27">
        <f t="shared" si="298"/>
        <v>6046.018</v>
      </c>
      <c r="L394" s="27">
        <f t="shared" si="298"/>
        <v>1596.1790000000001</v>
      </c>
      <c r="M394" s="27">
        <f t="shared" si="298"/>
        <v>3168.8850000000002</v>
      </c>
      <c r="N394" s="85">
        <f t="shared" si="298"/>
        <v>238.54400000000001</v>
      </c>
      <c r="O394" s="85">
        <f t="shared" si="298"/>
        <v>255.17</v>
      </c>
      <c r="P394" s="85">
        <f t="shared" si="298"/>
        <v>1064.5</v>
      </c>
      <c r="Q394" s="85">
        <f t="shared" si="298"/>
        <v>0</v>
      </c>
      <c r="R394" s="118">
        <f t="shared" si="296"/>
        <v>0</v>
      </c>
      <c r="S394" s="85">
        <f>S395+S396</f>
        <v>0</v>
      </c>
      <c r="T394" s="85">
        <f t="shared" ref="T394:AC394" si="299">T395+T396</f>
        <v>0</v>
      </c>
      <c r="U394" s="85">
        <f t="shared" si="299"/>
        <v>0</v>
      </c>
      <c r="V394" s="85">
        <f t="shared" si="299"/>
        <v>0</v>
      </c>
      <c r="W394" s="85">
        <f t="shared" si="299"/>
        <v>0</v>
      </c>
      <c r="X394" s="85">
        <f t="shared" si="299"/>
        <v>0</v>
      </c>
      <c r="Y394" s="85">
        <f t="shared" si="299"/>
        <v>0</v>
      </c>
      <c r="Z394" s="85">
        <f t="shared" si="299"/>
        <v>0</v>
      </c>
      <c r="AA394" s="85">
        <f t="shared" si="299"/>
        <v>0</v>
      </c>
      <c r="AB394" s="85">
        <f t="shared" si="299"/>
        <v>0</v>
      </c>
      <c r="AC394" s="150">
        <f t="shared" si="299"/>
        <v>0</v>
      </c>
      <c r="AD394" s="146">
        <f t="shared" si="227"/>
        <v>1064.5</v>
      </c>
    </row>
    <row r="395" spans="1:182">
      <c r="A395" s="40"/>
      <c r="B395" s="10" t="s">
        <v>31</v>
      </c>
      <c r="C395" s="30"/>
      <c r="D395" s="31"/>
      <c r="E395" s="32"/>
      <c r="F395" s="33">
        <f>H395+I395+AD395</f>
        <v>25313.857</v>
      </c>
      <c r="G395" s="34">
        <v>13710.9</v>
      </c>
      <c r="H395" s="33">
        <v>15022.960999999999</v>
      </c>
      <c r="I395" s="33">
        <f t="shared" si="294"/>
        <v>9226.3960000000006</v>
      </c>
      <c r="J395" s="33">
        <v>1312.0609999999999</v>
      </c>
      <c r="K395" s="33">
        <v>4545.4489999999996</v>
      </c>
      <c r="L395" s="33">
        <v>1438.1790000000001</v>
      </c>
      <c r="M395" s="33">
        <f>3649.054-800-100</f>
        <v>2749.0540000000001</v>
      </c>
      <c r="N395" s="87">
        <v>238.54400000000001</v>
      </c>
      <c r="O395" s="87">
        <v>255.17</v>
      </c>
      <c r="P395" s="87">
        <v>1064.5</v>
      </c>
      <c r="Q395" s="87">
        <v>0</v>
      </c>
      <c r="R395" s="119">
        <f t="shared" si="296"/>
        <v>0</v>
      </c>
      <c r="S395" s="87">
        <v>0</v>
      </c>
      <c r="T395" s="87">
        <v>0</v>
      </c>
      <c r="U395" s="87">
        <v>0</v>
      </c>
      <c r="V395" s="87">
        <v>0</v>
      </c>
      <c r="W395" s="87">
        <v>0</v>
      </c>
      <c r="X395" s="87">
        <v>0</v>
      </c>
      <c r="Y395" s="87">
        <v>0</v>
      </c>
      <c r="Z395" s="87">
        <v>0</v>
      </c>
      <c r="AA395" s="87">
        <v>0</v>
      </c>
      <c r="AB395" s="87">
        <v>0</v>
      </c>
      <c r="AC395" s="161">
        <v>0</v>
      </c>
      <c r="AD395" s="148">
        <f t="shared" si="227"/>
        <v>1064.5</v>
      </c>
    </row>
    <row r="396" spans="1:182">
      <c r="A396" s="40"/>
      <c r="B396" s="10" t="s">
        <v>120</v>
      </c>
      <c r="C396" s="30"/>
      <c r="D396" s="31"/>
      <c r="E396" s="32"/>
      <c r="F396" s="33">
        <f>H396+I396+AD396</f>
        <v>6545.6</v>
      </c>
      <c r="G396" s="34">
        <v>3520</v>
      </c>
      <c r="H396" s="33">
        <v>4467.2</v>
      </c>
      <c r="I396" s="33">
        <f t="shared" si="294"/>
        <v>2078.4</v>
      </c>
      <c r="J396" s="33">
        <v>947.2</v>
      </c>
      <c r="K396" s="33">
        <v>1500.569</v>
      </c>
      <c r="L396" s="33">
        <v>158</v>
      </c>
      <c r="M396" s="33">
        <v>419.83100000000002</v>
      </c>
      <c r="N396" s="87">
        <v>0</v>
      </c>
      <c r="O396" s="87">
        <v>0</v>
      </c>
      <c r="P396" s="87">
        <v>0</v>
      </c>
      <c r="Q396" s="87">
        <v>0</v>
      </c>
      <c r="R396" s="119">
        <f t="shared" si="296"/>
        <v>0</v>
      </c>
      <c r="S396" s="87">
        <v>0</v>
      </c>
      <c r="T396" s="87">
        <v>0</v>
      </c>
      <c r="U396" s="87">
        <v>0</v>
      </c>
      <c r="V396" s="87">
        <v>0</v>
      </c>
      <c r="W396" s="87">
        <v>0</v>
      </c>
      <c r="X396" s="87">
        <v>0</v>
      </c>
      <c r="Y396" s="87">
        <v>0</v>
      </c>
      <c r="Z396" s="87">
        <v>0</v>
      </c>
      <c r="AA396" s="87">
        <v>0</v>
      </c>
      <c r="AB396" s="87">
        <v>0</v>
      </c>
      <c r="AC396" s="161">
        <v>0</v>
      </c>
      <c r="AD396" s="148">
        <f t="shared" si="227"/>
        <v>0</v>
      </c>
    </row>
    <row r="397" spans="1:182" ht="33" customHeight="1">
      <c r="A397" s="20">
        <v>133</v>
      </c>
      <c r="B397" s="23" t="s">
        <v>232</v>
      </c>
      <c r="C397" s="24" t="s">
        <v>233</v>
      </c>
      <c r="D397" s="25" t="s">
        <v>351</v>
      </c>
      <c r="E397" s="26">
        <f>F398</f>
        <v>49676.326030000004</v>
      </c>
      <c r="F397" s="69">
        <f>F398</f>
        <v>49676.326030000004</v>
      </c>
      <c r="G397" s="28">
        <f>G398</f>
        <v>1047.694</v>
      </c>
      <c r="H397" s="28">
        <f>H398</f>
        <v>14526.527</v>
      </c>
      <c r="I397" s="28">
        <f t="shared" si="294"/>
        <v>35149.799030000002</v>
      </c>
      <c r="J397" s="27">
        <f>J398</f>
        <v>13478.833000000001</v>
      </c>
      <c r="K397" s="27">
        <f t="shared" ref="K397:Q397" si="300">K398</f>
        <v>20280.485000000001</v>
      </c>
      <c r="L397" s="27">
        <f t="shared" si="300"/>
        <v>14223.825999999999</v>
      </c>
      <c r="M397" s="27">
        <f t="shared" si="300"/>
        <v>645.48802999999998</v>
      </c>
      <c r="N397" s="85">
        <f t="shared" si="300"/>
        <v>0</v>
      </c>
      <c r="O397" s="85">
        <f t="shared" si="300"/>
        <v>0</v>
      </c>
      <c r="P397" s="85">
        <f t="shared" si="300"/>
        <v>0</v>
      </c>
      <c r="Q397" s="85">
        <f t="shared" si="300"/>
        <v>0</v>
      </c>
      <c r="R397" s="118">
        <f t="shared" si="296"/>
        <v>0</v>
      </c>
      <c r="S397" s="85">
        <f>S398</f>
        <v>0</v>
      </c>
      <c r="T397" s="85">
        <f t="shared" ref="T397:AC397" si="301">T398</f>
        <v>0</v>
      </c>
      <c r="U397" s="85">
        <f t="shared" si="301"/>
        <v>0</v>
      </c>
      <c r="V397" s="85">
        <f t="shared" si="301"/>
        <v>0</v>
      </c>
      <c r="W397" s="85">
        <f t="shared" si="301"/>
        <v>0</v>
      </c>
      <c r="X397" s="85">
        <f t="shared" si="301"/>
        <v>0</v>
      </c>
      <c r="Y397" s="85">
        <f t="shared" si="301"/>
        <v>0</v>
      </c>
      <c r="Z397" s="85">
        <f t="shared" si="301"/>
        <v>0</v>
      </c>
      <c r="AA397" s="85">
        <f t="shared" si="301"/>
        <v>0</v>
      </c>
      <c r="AB397" s="85">
        <f t="shared" si="301"/>
        <v>0</v>
      </c>
      <c r="AC397" s="150">
        <f t="shared" si="301"/>
        <v>0</v>
      </c>
      <c r="AD397" s="146">
        <f t="shared" si="227"/>
        <v>0</v>
      </c>
    </row>
    <row r="398" spans="1:182">
      <c r="A398" s="40"/>
      <c r="B398" s="10" t="s">
        <v>31</v>
      </c>
      <c r="C398" s="30"/>
      <c r="D398" s="31"/>
      <c r="E398" s="32"/>
      <c r="F398" s="33">
        <f>H398+I398+AD398</f>
        <v>49676.326030000004</v>
      </c>
      <c r="G398" s="34">
        <v>1047.694</v>
      </c>
      <c r="H398" s="33">
        <v>14526.527</v>
      </c>
      <c r="I398" s="33">
        <f t="shared" si="294"/>
        <v>35149.799030000002</v>
      </c>
      <c r="J398" s="33">
        <v>13478.833000000001</v>
      </c>
      <c r="K398" s="33">
        <v>20280.485000000001</v>
      </c>
      <c r="L398" s="33">
        <v>14223.825999999999</v>
      </c>
      <c r="M398" s="35">
        <f>818.174-129.68597-43</f>
        <v>645.48802999999998</v>
      </c>
      <c r="N398" s="87">
        <v>0</v>
      </c>
      <c r="O398" s="87">
        <v>0</v>
      </c>
      <c r="P398" s="87">
        <v>0</v>
      </c>
      <c r="Q398" s="87">
        <v>0</v>
      </c>
      <c r="R398" s="119">
        <f t="shared" si="296"/>
        <v>0</v>
      </c>
      <c r="S398" s="87">
        <v>0</v>
      </c>
      <c r="T398" s="87">
        <v>0</v>
      </c>
      <c r="U398" s="87">
        <v>0</v>
      </c>
      <c r="V398" s="87">
        <v>0</v>
      </c>
      <c r="W398" s="87">
        <v>0</v>
      </c>
      <c r="X398" s="87">
        <v>0</v>
      </c>
      <c r="Y398" s="87">
        <v>0</v>
      </c>
      <c r="Z398" s="87">
        <v>0</v>
      </c>
      <c r="AA398" s="87">
        <v>0</v>
      </c>
      <c r="AB398" s="87">
        <v>0</v>
      </c>
      <c r="AC398" s="161">
        <v>0</v>
      </c>
      <c r="AD398" s="148">
        <f t="shared" si="227"/>
        <v>0</v>
      </c>
    </row>
    <row r="399" spans="1:182" ht="22.5">
      <c r="A399" s="20">
        <v>134</v>
      </c>
      <c r="B399" s="23" t="s">
        <v>234</v>
      </c>
      <c r="C399" s="24" t="s">
        <v>227</v>
      </c>
      <c r="D399" s="25" t="s">
        <v>235</v>
      </c>
      <c r="E399" s="26">
        <f>F400</f>
        <v>75781.337</v>
      </c>
      <c r="F399" s="27">
        <f>F400+F401+F402</f>
        <v>117533.95699999999</v>
      </c>
      <c r="G399" s="28">
        <v>116941.837</v>
      </c>
      <c r="H399" s="28">
        <v>116981.45699999999</v>
      </c>
      <c r="I399" s="28">
        <f t="shared" si="294"/>
        <v>552.49999999999989</v>
      </c>
      <c r="J399" s="27">
        <f>J400+J401+J402</f>
        <v>39.619999999999997</v>
      </c>
      <c r="K399" s="27">
        <f t="shared" ref="K399:Q399" si="302">K400+K401+K402</f>
        <v>0.49999999999991473</v>
      </c>
      <c r="L399" s="27">
        <f t="shared" si="302"/>
        <v>552</v>
      </c>
      <c r="M399" s="27">
        <f t="shared" si="302"/>
        <v>0</v>
      </c>
      <c r="N399" s="85">
        <f t="shared" si="302"/>
        <v>0</v>
      </c>
      <c r="O399" s="85">
        <f t="shared" si="302"/>
        <v>0</v>
      </c>
      <c r="P399" s="85">
        <f t="shared" si="302"/>
        <v>0</v>
      </c>
      <c r="Q399" s="85">
        <f t="shared" si="302"/>
        <v>0</v>
      </c>
      <c r="R399" s="118">
        <f t="shared" si="296"/>
        <v>0</v>
      </c>
      <c r="S399" s="85">
        <f>S400+S401+S402</f>
        <v>0</v>
      </c>
      <c r="T399" s="85">
        <f t="shared" ref="T399:AC399" si="303">T400+T401+T402</f>
        <v>0</v>
      </c>
      <c r="U399" s="85">
        <f t="shared" si="303"/>
        <v>0</v>
      </c>
      <c r="V399" s="85">
        <f t="shared" si="303"/>
        <v>0</v>
      </c>
      <c r="W399" s="85">
        <f t="shared" si="303"/>
        <v>0</v>
      </c>
      <c r="X399" s="85">
        <f t="shared" si="303"/>
        <v>0</v>
      </c>
      <c r="Y399" s="85">
        <f t="shared" si="303"/>
        <v>0</v>
      </c>
      <c r="Z399" s="85">
        <f t="shared" si="303"/>
        <v>0</v>
      </c>
      <c r="AA399" s="85">
        <f t="shared" si="303"/>
        <v>0</v>
      </c>
      <c r="AB399" s="85">
        <f t="shared" si="303"/>
        <v>0</v>
      </c>
      <c r="AC399" s="150">
        <f t="shared" si="303"/>
        <v>0</v>
      </c>
      <c r="AD399" s="146">
        <f t="shared" si="227"/>
        <v>0</v>
      </c>
    </row>
    <row r="400" spans="1:182">
      <c r="A400" s="40"/>
      <c r="B400" s="10" t="s">
        <v>31</v>
      </c>
      <c r="C400" s="30"/>
      <c r="D400" s="31"/>
      <c r="E400" s="32"/>
      <c r="F400" s="33">
        <f>H400+I400+AD400</f>
        <v>75781.337</v>
      </c>
      <c r="G400" s="34">
        <v>75189.217000000004</v>
      </c>
      <c r="H400" s="33">
        <v>75228.837</v>
      </c>
      <c r="I400" s="33">
        <f t="shared" si="294"/>
        <v>552.49999999999989</v>
      </c>
      <c r="J400" s="33">
        <v>39.619999999999997</v>
      </c>
      <c r="K400" s="33">
        <v>0.49999999999991473</v>
      </c>
      <c r="L400" s="33">
        <v>552</v>
      </c>
      <c r="M400" s="33">
        <v>0</v>
      </c>
      <c r="N400" s="87">
        <v>0</v>
      </c>
      <c r="O400" s="87">
        <v>0</v>
      </c>
      <c r="P400" s="87">
        <v>0</v>
      </c>
      <c r="Q400" s="87">
        <v>0</v>
      </c>
      <c r="R400" s="119">
        <f t="shared" si="296"/>
        <v>0</v>
      </c>
      <c r="S400" s="87">
        <v>0</v>
      </c>
      <c r="T400" s="87">
        <v>0</v>
      </c>
      <c r="U400" s="87">
        <v>0</v>
      </c>
      <c r="V400" s="87">
        <v>0</v>
      </c>
      <c r="W400" s="87">
        <v>0</v>
      </c>
      <c r="X400" s="87">
        <v>0</v>
      </c>
      <c r="Y400" s="87">
        <v>0</v>
      </c>
      <c r="Z400" s="87">
        <v>0</v>
      </c>
      <c r="AA400" s="87">
        <v>0</v>
      </c>
      <c r="AB400" s="87">
        <v>0</v>
      </c>
      <c r="AC400" s="161">
        <v>0</v>
      </c>
      <c r="AD400" s="148">
        <f t="shared" si="227"/>
        <v>0</v>
      </c>
    </row>
    <row r="401" spans="1:30">
      <c r="A401" s="40"/>
      <c r="B401" s="10" t="s">
        <v>41</v>
      </c>
      <c r="C401" s="30"/>
      <c r="D401" s="31"/>
      <c r="E401" s="32"/>
      <c r="F401" s="33">
        <f>H401+I401+AD401</f>
        <v>32065.62</v>
      </c>
      <c r="G401" s="34">
        <v>32065.62</v>
      </c>
      <c r="H401" s="33">
        <v>32065.62</v>
      </c>
      <c r="I401" s="33">
        <f t="shared" si="294"/>
        <v>0</v>
      </c>
      <c r="J401" s="33">
        <v>0</v>
      </c>
      <c r="K401" s="33">
        <v>0</v>
      </c>
      <c r="L401" s="33">
        <v>0</v>
      </c>
      <c r="M401" s="33">
        <v>0</v>
      </c>
      <c r="N401" s="87">
        <v>0</v>
      </c>
      <c r="O401" s="87">
        <v>0</v>
      </c>
      <c r="P401" s="87">
        <v>0</v>
      </c>
      <c r="Q401" s="87">
        <v>0</v>
      </c>
      <c r="R401" s="119">
        <f t="shared" si="296"/>
        <v>0</v>
      </c>
      <c r="S401" s="87">
        <v>0</v>
      </c>
      <c r="T401" s="87">
        <v>0</v>
      </c>
      <c r="U401" s="87">
        <v>0</v>
      </c>
      <c r="V401" s="87">
        <v>0</v>
      </c>
      <c r="W401" s="87">
        <v>0</v>
      </c>
      <c r="X401" s="87">
        <v>0</v>
      </c>
      <c r="Y401" s="87">
        <v>0</v>
      </c>
      <c r="Z401" s="87">
        <v>0</v>
      </c>
      <c r="AA401" s="87">
        <v>0</v>
      </c>
      <c r="AB401" s="87">
        <v>0</v>
      </c>
      <c r="AC401" s="161">
        <v>0</v>
      </c>
      <c r="AD401" s="148">
        <f t="shared" si="227"/>
        <v>0</v>
      </c>
    </row>
    <row r="402" spans="1:30">
      <c r="A402" s="40"/>
      <c r="B402" s="10" t="s">
        <v>236</v>
      </c>
      <c r="C402" s="30"/>
      <c r="D402" s="31"/>
      <c r="E402" s="32"/>
      <c r="F402" s="33">
        <f>H402+I402+AD402</f>
        <v>9687</v>
      </c>
      <c r="G402" s="34">
        <v>9687</v>
      </c>
      <c r="H402" s="33">
        <v>9687</v>
      </c>
      <c r="I402" s="33">
        <f t="shared" si="294"/>
        <v>0</v>
      </c>
      <c r="J402" s="33">
        <v>0</v>
      </c>
      <c r="K402" s="33">
        <v>0</v>
      </c>
      <c r="L402" s="33">
        <v>0</v>
      </c>
      <c r="M402" s="33">
        <v>0</v>
      </c>
      <c r="N402" s="87">
        <v>0</v>
      </c>
      <c r="O402" s="87">
        <v>0</v>
      </c>
      <c r="P402" s="87">
        <v>0</v>
      </c>
      <c r="Q402" s="87">
        <v>0</v>
      </c>
      <c r="R402" s="119">
        <f t="shared" si="296"/>
        <v>0</v>
      </c>
      <c r="S402" s="87">
        <v>0</v>
      </c>
      <c r="T402" s="87">
        <v>0</v>
      </c>
      <c r="U402" s="87">
        <v>0</v>
      </c>
      <c r="V402" s="87">
        <v>0</v>
      </c>
      <c r="W402" s="87">
        <v>0</v>
      </c>
      <c r="X402" s="87">
        <v>0</v>
      </c>
      <c r="Y402" s="87">
        <v>0</v>
      </c>
      <c r="Z402" s="87">
        <v>0</v>
      </c>
      <c r="AA402" s="87">
        <v>0</v>
      </c>
      <c r="AB402" s="87">
        <v>0</v>
      </c>
      <c r="AC402" s="161">
        <v>0</v>
      </c>
      <c r="AD402" s="148">
        <f t="shared" si="227"/>
        <v>0</v>
      </c>
    </row>
    <row r="403" spans="1:30" ht="33" customHeight="1">
      <c r="A403" s="20">
        <v>135</v>
      </c>
      <c r="B403" s="23" t="s">
        <v>237</v>
      </c>
      <c r="C403" s="24" t="s">
        <v>238</v>
      </c>
      <c r="D403" s="25" t="s">
        <v>382</v>
      </c>
      <c r="E403" s="26">
        <f>F404</f>
        <v>91636.073000000004</v>
      </c>
      <c r="F403" s="27">
        <f>F404+F405</f>
        <v>96436.073000000004</v>
      </c>
      <c r="G403" s="27">
        <f>G404+G405</f>
        <v>56934.972999999998</v>
      </c>
      <c r="H403" s="27">
        <f>H404+H405</f>
        <v>58541.252999999997</v>
      </c>
      <c r="I403" s="28">
        <f t="shared" si="294"/>
        <v>21174.695</v>
      </c>
      <c r="J403" s="27">
        <f t="shared" ref="J403:Q403" si="304">J404+J405</f>
        <v>1606.2800000000002</v>
      </c>
      <c r="K403" s="27">
        <f t="shared" si="304"/>
        <v>7544.66</v>
      </c>
      <c r="L403" s="27">
        <f t="shared" si="304"/>
        <v>2601.34</v>
      </c>
      <c r="M403" s="27">
        <f t="shared" si="304"/>
        <v>2760.85</v>
      </c>
      <c r="N403" s="85">
        <f t="shared" si="304"/>
        <v>2188.3000000000002</v>
      </c>
      <c r="O403" s="85">
        <f t="shared" si="304"/>
        <v>6079.5450000000001</v>
      </c>
      <c r="P403" s="85">
        <f t="shared" si="304"/>
        <v>4720.125</v>
      </c>
      <c r="Q403" s="85">
        <f t="shared" si="304"/>
        <v>4000</v>
      </c>
      <c r="R403" s="118">
        <f t="shared" si="296"/>
        <v>8000</v>
      </c>
      <c r="S403" s="85">
        <f>S404+S405</f>
        <v>4000</v>
      </c>
      <c r="T403" s="85">
        <f t="shared" ref="T403:AC403" si="305">T404+T405</f>
        <v>4000</v>
      </c>
      <c r="U403" s="85">
        <f t="shared" si="305"/>
        <v>0</v>
      </c>
      <c r="V403" s="85">
        <f t="shared" si="305"/>
        <v>0</v>
      </c>
      <c r="W403" s="85">
        <f t="shared" si="305"/>
        <v>0</v>
      </c>
      <c r="X403" s="85">
        <f t="shared" si="305"/>
        <v>0</v>
      </c>
      <c r="Y403" s="85">
        <f t="shared" si="305"/>
        <v>0</v>
      </c>
      <c r="Z403" s="85">
        <f t="shared" si="305"/>
        <v>0</v>
      </c>
      <c r="AA403" s="85">
        <f t="shared" si="305"/>
        <v>0</v>
      </c>
      <c r="AB403" s="85">
        <f t="shared" si="305"/>
        <v>0</v>
      </c>
      <c r="AC403" s="150">
        <f t="shared" si="305"/>
        <v>0</v>
      </c>
      <c r="AD403" s="146">
        <f t="shared" ref="AD403:AD469" si="306">P403+Q403+R403</f>
        <v>16720.125</v>
      </c>
    </row>
    <row r="404" spans="1:30">
      <c r="A404" s="40"/>
      <c r="B404" s="10" t="s">
        <v>31</v>
      </c>
      <c r="C404" s="30"/>
      <c r="D404" s="31"/>
      <c r="E404" s="32"/>
      <c r="F404" s="33">
        <f>H404+I404+AD404</f>
        <v>91636.073000000004</v>
      </c>
      <c r="G404" s="34">
        <v>52134.972999999998</v>
      </c>
      <c r="H404" s="33">
        <v>53741.252999999997</v>
      </c>
      <c r="I404" s="33">
        <f t="shared" si="294"/>
        <v>21174.695</v>
      </c>
      <c r="J404" s="33">
        <v>1606.2800000000002</v>
      </c>
      <c r="K404" s="33">
        <v>7544.66</v>
      </c>
      <c r="L404" s="33">
        <v>2601.34</v>
      </c>
      <c r="M404" s="35">
        <v>2760.85</v>
      </c>
      <c r="N404" s="87">
        <v>2188.3000000000002</v>
      </c>
      <c r="O404" s="87">
        <v>6079.5450000000001</v>
      </c>
      <c r="P404" s="87">
        <v>4720.125</v>
      </c>
      <c r="Q404" s="87">
        <v>4000</v>
      </c>
      <c r="R404" s="119">
        <f t="shared" si="296"/>
        <v>8000</v>
      </c>
      <c r="S404" s="87">
        <v>4000</v>
      </c>
      <c r="T404" s="87">
        <v>4000</v>
      </c>
      <c r="U404" s="87">
        <v>0</v>
      </c>
      <c r="V404" s="87">
        <v>0</v>
      </c>
      <c r="W404" s="87">
        <v>0</v>
      </c>
      <c r="X404" s="87">
        <v>0</v>
      </c>
      <c r="Y404" s="87">
        <v>0</v>
      </c>
      <c r="Z404" s="87">
        <v>0</v>
      </c>
      <c r="AA404" s="87">
        <v>0</v>
      </c>
      <c r="AB404" s="87">
        <v>0</v>
      </c>
      <c r="AC404" s="161">
        <v>0</v>
      </c>
      <c r="AD404" s="148">
        <f t="shared" si="306"/>
        <v>16720.125</v>
      </c>
    </row>
    <row r="405" spans="1:30">
      <c r="A405" s="40"/>
      <c r="B405" s="10" t="s">
        <v>79</v>
      </c>
      <c r="C405" s="30"/>
      <c r="D405" s="31"/>
      <c r="E405" s="32"/>
      <c r="F405" s="33">
        <f>H405+I405+AD405</f>
        <v>4800</v>
      </c>
      <c r="G405" s="34">
        <v>4800</v>
      </c>
      <c r="H405" s="33">
        <v>4800</v>
      </c>
      <c r="I405" s="33">
        <f t="shared" si="294"/>
        <v>0</v>
      </c>
      <c r="J405" s="33">
        <v>0</v>
      </c>
      <c r="K405" s="33">
        <v>0</v>
      </c>
      <c r="L405" s="33">
        <v>0</v>
      </c>
      <c r="M405" s="33">
        <v>0</v>
      </c>
      <c r="N405" s="87">
        <v>0</v>
      </c>
      <c r="O405" s="87">
        <v>0</v>
      </c>
      <c r="P405" s="87">
        <v>0</v>
      </c>
      <c r="Q405" s="87">
        <v>0</v>
      </c>
      <c r="R405" s="119">
        <f t="shared" si="296"/>
        <v>0</v>
      </c>
      <c r="S405" s="87">
        <v>0</v>
      </c>
      <c r="T405" s="87">
        <v>0</v>
      </c>
      <c r="U405" s="87">
        <v>0</v>
      </c>
      <c r="V405" s="87">
        <v>0</v>
      </c>
      <c r="W405" s="87">
        <v>0</v>
      </c>
      <c r="X405" s="87">
        <v>0</v>
      </c>
      <c r="Y405" s="87">
        <v>0</v>
      </c>
      <c r="Z405" s="87">
        <v>0</v>
      </c>
      <c r="AA405" s="87">
        <v>0</v>
      </c>
      <c r="AB405" s="87">
        <v>0</v>
      </c>
      <c r="AC405" s="161">
        <v>0</v>
      </c>
      <c r="AD405" s="148">
        <f t="shared" si="306"/>
        <v>0</v>
      </c>
    </row>
    <row r="406" spans="1:30" ht="22.5">
      <c r="A406" s="20">
        <v>136</v>
      </c>
      <c r="B406" s="23" t="s">
        <v>239</v>
      </c>
      <c r="C406" s="24" t="s">
        <v>240</v>
      </c>
      <c r="D406" s="25" t="s">
        <v>67</v>
      </c>
      <c r="E406" s="26">
        <f>F407</f>
        <v>5661.1980000000003</v>
      </c>
      <c r="F406" s="27">
        <f>F407+F408</f>
        <v>8105.7130000000006</v>
      </c>
      <c r="G406" s="27">
        <f>G407+G408</f>
        <v>3538</v>
      </c>
      <c r="H406" s="27">
        <f>H407+H408</f>
        <v>3538</v>
      </c>
      <c r="I406" s="28">
        <f t="shared" si="294"/>
        <v>4567.7129999999997</v>
      </c>
      <c r="J406" s="27">
        <f t="shared" ref="J406:Q406" si="307">J407+J408</f>
        <v>0</v>
      </c>
      <c r="K406" s="27">
        <f t="shared" si="307"/>
        <v>200</v>
      </c>
      <c r="L406" s="27">
        <f t="shared" si="307"/>
        <v>49.814999999999998</v>
      </c>
      <c r="M406" s="27">
        <f t="shared" si="307"/>
        <v>0</v>
      </c>
      <c r="N406" s="85">
        <f t="shared" si="307"/>
        <v>4153.585</v>
      </c>
      <c r="O406" s="85">
        <f t="shared" si="307"/>
        <v>164.31299999999999</v>
      </c>
      <c r="P406" s="85">
        <f t="shared" si="307"/>
        <v>0</v>
      </c>
      <c r="Q406" s="85">
        <f t="shared" si="307"/>
        <v>0</v>
      </c>
      <c r="R406" s="118">
        <f t="shared" si="296"/>
        <v>0</v>
      </c>
      <c r="S406" s="85">
        <f>S407+S408</f>
        <v>0</v>
      </c>
      <c r="T406" s="85">
        <f t="shared" ref="T406:AC406" si="308">T407+T408</f>
        <v>0</v>
      </c>
      <c r="U406" s="85">
        <f t="shared" si="308"/>
        <v>0</v>
      </c>
      <c r="V406" s="85">
        <f t="shared" si="308"/>
        <v>0</v>
      </c>
      <c r="W406" s="85">
        <f t="shared" si="308"/>
        <v>0</v>
      </c>
      <c r="X406" s="85">
        <f t="shared" si="308"/>
        <v>0</v>
      </c>
      <c r="Y406" s="85">
        <f t="shared" si="308"/>
        <v>0</v>
      </c>
      <c r="Z406" s="85">
        <f t="shared" si="308"/>
        <v>0</v>
      </c>
      <c r="AA406" s="85">
        <f t="shared" si="308"/>
        <v>0</v>
      </c>
      <c r="AB406" s="85">
        <f t="shared" si="308"/>
        <v>0</v>
      </c>
      <c r="AC406" s="150">
        <f t="shared" si="308"/>
        <v>0</v>
      </c>
      <c r="AD406" s="146">
        <f t="shared" si="306"/>
        <v>0</v>
      </c>
    </row>
    <row r="407" spans="1:30">
      <c r="A407" s="40"/>
      <c r="B407" s="10" t="s">
        <v>31</v>
      </c>
      <c r="C407" s="30"/>
      <c r="D407" s="31"/>
      <c r="E407" s="32"/>
      <c r="F407" s="33">
        <f>H407+I407+AD407</f>
        <v>5661.1980000000003</v>
      </c>
      <c r="G407" s="34">
        <v>3538</v>
      </c>
      <c r="H407" s="33">
        <v>3538</v>
      </c>
      <c r="I407" s="33">
        <f t="shared" si="294"/>
        <v>2123.1979999999999</v>
      </c>
      <c r="J407" s="33">
        <v>0</v>
      </c>
      <c r="K407" s="33">
        <v>200</v>
      </c>
      <c r="L407" s="33">
        <v>49.814999999999998</v>
      </c>
      <c r="M407" s="33">
        <f>39.9-39.9</f>
        <v>0</v>
      </c>
      <c r="N407" s="87">
        <v>1709.07</v>
      </c>
      <c r="O407" s="86">
        <v>164.31299999999999</v>
      </c>
      <c r="P407" s="86">
        <v>0</v>
      </c>
      <c r="Q407" s="86">
        <v>0</v>
      </c>
      <c r="R407" s="119">
        <f t="shared" si="296"/>
        <v>0</v>
      </c>
      <c r="S407" s="86">
        <v>0</v>
      </c>
      <c r="T407" s="87">
        <v>0</v>
      </c>
      <c r="U407" s="87">
        <v>0</v>
      </c>
      <c r="V407" s="87">
        <v>0</v>
      </c>
      <c r="W407" s="87">
        <v>0</v>
      </c>
      <c r="X407" s="87">
        <v>0</v>
      </c>
      <c r="Y407" s="87">
        <v>0</v>
      </c>
      <c r="Z407" s="87">
        <v>0</v>
      </c>
      <c r="AA407" s="87">
        <v>0</v>
      </c>
      <c r="AB407" s="87">
        <v>0</v>
      </c>
      <c r="AC407" s="161">
        <v>0</v>
      </c>
      <c r="AD407" s="148">
        <f t="shared" si="306"/>
        <v>0</v>
      </c>
    </row>
    <row r="408" spans="1:30">
      <c r="A408" s="40"/>
      <c r="B408" s="38" t="s">
        <v>41</v>
      </c>
      <c r="C408" s="30"/>
      <c r="D408" s="31"/>
      <c r="E408" s="32"/>
      <c r="F408" s="33">
        <f>H408+I408+AD408</f>
        <v>2444.5150000000003</v>
      </c>
      <c r="G408" s="34"/>
      <c r="H408" s="33">
        <v>0</v>
      </c>
      <c r="I408" s="33">
        <f t="shared" si="294"/>
        <v>2444.5150000000003</v>
      </c>
      <c r="J408" s="33"/>
      <c r="K408" s="33">
        <v>0</v>
      </c>
      <c r="L408" s="33">
        <v>0</v>
      </c>
      <c r="M408" s="33">
        <f>89.25-89.25</f>
        <v>0</v>
      </c>
      <c r="N408" s="87">
        <v>2444.5150000000003</v>
      </c>
      <c r="O408" s="87">
        <v>0</v>
      </c>
      <c r="P408" s="87">
        <v>0</v>
      </c>
      <c r="Q408" s="87">
        <v>0</v>
      </c>
      <c r="R408" s="119">
        <f t="shared" si="296"/>
        <v>0</v>
      </c>
      <c r="S408" s="87">
        <v>0</v>
      </c>
      <c r="T408" s="87">
        <v>0</v>
      </c>
      <c r="U408" s="87">
        <v>0</v>
      </c>
      <c r="V408" s="87">
        <v>0</v>
      </c>
      <c r="W408" s="87">
        <v>0</v>
      </c>
      <c r="X408" s="87">
        <v>0</v>
      </c>
      <c r="Y408" s="87">
        <v>0</v>
      </c>
      <c r="Z408" s="87">
        <v>0</v>
      </c>
      <c r="AA408" s="87">
        <v>0</v>
      </c>
      <c r="AB408" s="87">
        <v>0</v>
      </c>
      <c r="AC408" s="161">
        <v>0</v>
      </c>
      <c r="AD408" s="148">
        <f t="shared" si="306"/>
        <v>0</v>
      </c>
    </row>
    <row r="409" spans="1:30" ht="33.75">
      <c r="A409" s="20">
        <v>137</v>
      </c>
      <c r="B409" s="23" t="s">
        <v>241</v>
      </c>
      <c r="C409" s="24" t="s">
        <v>336</v>
      </c>
      <c r="D409" s="25" t="s">
        <v>112</v>
      </c>
      <c r="E409" s="26">
        <f>F410</f>
        <v>987.05299999999988</v>
      </c>
      <c r="F409" s="27">
        <f>F410+F411</f>
        <v>1694.4769999999999</v>
      </c>
      <c r="G409" s="27">
        <f>G410+G411</f>
        <v>0</v>
      </c>
      <c r="H409" s="27">
        <f>H410+H411</f>
        <v>0</v>
      </c>
      <c r="I409" s="28">
        <f t="shared" si="294"/>
        <v>1694.4770000000001</v>
      </c>
      <c r="J409" s="27">
        <f t="shared" ref="J409:Q409" si="309">J410+J411</f>
        <v>0</v>
      </c>
      <c r="K409" s="27">
        <f t="shared" si="309"/>
        <v>0</v>
      </c>
      <c r="L409" s="27">
        <f t="shared" si="309"/>
        <v>0</v>
      </c>
      <c r="M409" s="27">
        <f t="shared" si="309"/>
        <v>858.25400000000002</v>
      </c>
      <c r="N409" s="85">
        <f t="shared" si="309"/>
        <v>796.923</v>
      </c>
      <c r="O409" s="85">
        <f t="shared" si="309"/>
        <v>39.299999999999997</v>
      </c>
      <c r="P409" s="88">
        <f t="shared" si="309"/>
        <v>0</v>
      </c>
      <c r="Q409" s="85">
        <f t="shared" si="309"/>
        <v>0</v>
      </c>
      <c r="R409" s="118">
        <f t="shared" si="296"/>
        <v>0</v>
      </c>
      <c r="S409" s="85">
        <f>S410+S411</f>
        <v>0</v>
      </c>
      <c r="T409" s="85">
        <f t="shared" ref="T409:AC409" si="310">T410+T411</f>
        <v>0</v>
      </c>
      <c r="U409" s="85">
        <f t="shared" si="310"/>
        <v>0</v>
      </c>
      <c r="V409" s="85">
        <f t="shared" si="310"/>
        <v>0</v>
      </c>
      <c r="W409" s="85">
        <f t="shared" si="310"/>
        <v>0</v>
      </c>
      <c r="X409" s="85">
        <f t="shared" si="310"/>
        <v>0</v>
      </c>
      <c r="Y409" s="85">
        <f t="shared" si="310"/>
        <v>0</v>
      </c>
      <c r="Z409" s="85">
        <f t="shared" si="310"/>
        <v>0</v>
      </c>
      <c r="AA409" s="85">
        <f t="shared" si="310"/>
        <v>0</v>
      </c>
      <c r="AB409" s="85">
        <f t="shared" si="310"/>
        <v>0</v>
      </c>
      <c r="AC409" s="150">
        <f t="shared" si="310"/>
        <v>0</v>
      </c>
      <c r="AD409" s="146">
        <f t="shared" si="306"/>
        <v>0</v>
      </c>
    </row>
    <row r="410" spans="1:30">
      <c r="A410" s="40"/>
      <c r="B410" s="10" t="s">
        <v>31</v>
      </c>
      <c r="C410" s="30"/>
      <c r="D410" s="31"/>
      <c r="E410" s="32"/>
      <c r="F410" s="33">
        <f>H410+I410+AD410</f>
        <v>987.05299999999988</v>
      </c>
      <c r="G410" s="34">
        <v>0</v>
      </c>
      <c r="H410" s="33">
        <v>0</v>
      </c>
      <c r="I410" s="33">
        <f t="shared" si="294"/>
        <v>987.05299999999988</v>
      </c>
      <c r="J410" s="33">
        <v>0</v>
      </c>
      <c r="K410" s="33">
        <v>0</v>
      </c>
      <c r="L410" s="33">
        <v>0</v>
      </c>
      <c r="M410" s="35">
        <v>334.92899999999997</v>
      </c>
      <c r="N410" s="87">
        <v>612.82399999999996</v>
      </c>
      <c r="O410" s="86">
        <v>39.299999999999997</v>
      </c>
      <c r="P410" s="87">
        <f>19.44-19.44</f>
        <v>0</v>
      </c>
      <c r="Q410" s="87">
        <f>10.8-10.8</f>
        <v>0</v>
      </c>
      <c r="R410" s="119">
        <f t="shared" si="296"/>
        <v>0</v>
      </c>
      <c r="S410" s="87">
        <v>0</v>
      </c>
      <c r="T410" s="87">
        <v>0</v>
      </c>
      <c r="U410" s="87">
        <v>0</v>
      </c>
      <c r="V410" s="87">
        <v>0</v>
      </c>
      <c r="W410" s="87">
        <v>0</v>
      </c>
      <c r="X410" s="87">
        <v>0</v>
      </c>
      <c r="Y410" s="87">
        <v>0</v>
      </c>
      <c r="Z410" s="87">
        <v>0</v>
      </c>
      <c r="AA410" s="87">
        <v>0</v>
      </c>
      <c r="AB410" s="87">
        <v>0</v>
      </c>
      <c r="AC410" s="161">
        <v>0</v>
      </c>
      <c r="AD410" s="148">
        <f t="shared" si="306"/>
        <v>0</v>
      </c>
    </row>
    <row r="411" spans="1:30">
      <c r="A411" s="40"/>
      <c r="B411" s="38" t="s">
        <v>41</v>
      </c>
      <c r="C411" s="30"/>
      <c r="D411" s="31"/>
      <c r="E411" s="32"/>
      <c r="F411" s="33">
        <f>H411+I411+AD411</f>
        <v>707.42399999999998</v>
      </c>
      <c r="G411" s="34"/>
      <c r="H411" s="33">
        <v>0</v>
      </c>
      <c r="I411" s="33">
        <f t="shared" si="294"/>
        <v>707.42399999999998</v>
      </c>
      <c r="J411" s="33"/>
      <c r="K411" s="33">
        <v>0</v>
      </c>
      <c r="L411" s="33">
        <v>0</v>
      </c>
      <c r="M411" s="33">
        <v>523.32500000000005</v>
      </c>
      <c r="N411" s="87">
        <v>184.09899999999999</v>
      </c>
      <c r="O411" s="87">
        <v>0</v>
      </c>
      <c r="P411" s="87">
        <v>0</v>
      </c>
      <c r="Q411" s="87">
        <v>0</v>
      </c>
      <c r="R411" s="119">
        <f t="shared" si="296"/>
        <v>0</v>
      </c>
      <c r="S411" s="87">
        <v>0</v>
      </c>
      <c r="T411" s="87">
        <v>0</v>
      </c>
      <c r="U411" s="87">
        <v>0</v>
      </c>
      <c r="V411" s="87">
        <v>0</v>
      </c>
      <c r="W411" s="87">
        <v>0</v>
      </c>
      <c r="X411" s="87">
        <v>0</v>
      </c>
      <c r="Y411" s="87">
        <v>0</v>
      </c>
      <c r="Z411" s="87">
        <v>0</v>
      </c>
      <c r="AA411" s="87">
        <v>0</v>
      </c>
      <c r="AB411" s="87">
        <v>0</v>
      </c>
      <c r="AC411" s="161">
        <v>0</v>
      </c>
      <c r="AD411" s="148">
        <f t="shared" si="306"/>
        <v>0</v>
      </c>
    </row>
    <row r="412" spans="1:30" ht="33.75">
      <c r="A412" s="20">
        <v>138</v>
      </c>
      <c r="B412" s="23" t="s">
        <v>242</v>
      </c>
      <c r="C412" s="24" t="s">
        <v>352</v>
      </c>
      <c r="D412" s="25" t="s">
        <v>105</v>
      </c>
      <c r="E412" s="26">
        <f>F413</f>
        <v>2110</v>
      </c>
      <c r="F412" s="27">
        <f>F413+F414</f>
        <v>7259.1019999999999</v>
      </c>
      <c r="G412" s="27">
        <f>G413+G414</f>
        <v>0</v>
      </c>
      <c r="H412" s="27">
        <f>H413+H414</f>
        <v>0</v>
      </c>
      <c r="I412" s="28">
        <f t="shared" si="294"/>
        <v>5004.0519999999997</v>
      </c>
      <c r="J412" s="27">
        <f t="shared" ref="J412:Q412" si="311">J413+J414</f>
        <v>0</v>
      </c>
      <c r="K412" s="27">
        <f t="shared" si="311"/>
        <v>0</v>
      </c>
      <c r="L412" s="27">
        <f t="shared" si="311"/>
        <v>0</v>
      </c>
      <c r="M412" s="27">
        <f t="shared" si="311"/>
        <v>0</v>
      </c>
      <c r="N412" s="85">
        <f t="shared" si="311"/>
        <v>149.19999999999999</v>
      </c>
      <c r="O412" s="85">
        <f t="shared" si="311"/>
        <v>4854.8519999999999</v>
      </c>
      <c r="P412" s="85">
        <f t="shared" si="311"/>
        <v>2255.0500000000002</v>
      </c>
      <c r="Q412" s="85">
        <f t="shared" si="311"/>
        <v>0</v>
      </c>
      <c r="R412" s="118">
        <f t="shared" si="296"/>
        <v>0</v>
      </c>
      <c r="S412" s="85">
        <f>S413+S414</f>
        <v>0</v>
      </c>
      <c r="T412" s="85">
        <f t="shared" ref="T412:AC412" si="312">T413+T414</f>
        <v>0</v>
      </c>
      <c r="U412" s="85">
        <f t="shared" si="312"/>
        <v>0</v>
      </c>
      <c r="V412" s="85">
        <f t="shared" si="312"/>
        <v>0</v>
      </c>
      <c r="W412" s="85">
        <f t="shared" si="312"/>
        <v>0</v>
      </c>
      <c r="X412" s="85">
        <f t="shared" si="312"/>
        <v>0</v>
      </c>
      <c r="Y412" s="85">
        <f t="shared" si="312"/>
        <v>0</v>
      </c>
      <c r="Z412" s="85">
        <f t="shared" si="312"/>
        <v>0</v>
      </c>
      <c r="AA412" s="85">
        <f t="shared" si="312"/>
        <v>0</v>
      </c>
      <c r="AB412" s="85">
        <f t="shared" si="312"/>
        <v>0</v>
      </c>
      <c r="AC412" s="150">
        <f t="shared" si="312"/>
        <v>0</v>
      </c>
      <c r="AD412" s="146">
        <f t="shared" si="306"/>
        <v>2255.0500000000002</v>
      </c>
    </row>
    <row r="413" spans="1:30">
      <c r="A413" s="40"/>
      <c r="B413" s="10" t="s">
        <v>31</v>
      </c>
      <c r="C413" s="30"/>
      <c r="D413" s="31"/>
      <c r="E413" s="32"/>
      <c r="F413" s="33">
        <f>H413+I413+AD413</f>
        <v>2110</v>
      </c>
      <c r="G413" s="34">
        <v>0</v>
      </c>
      <c r="H413" s="33">
        <v>0</v>
      </c>
      <c r="I413" s="33">
        <f t="shared" si="294"/>
        <v>1333.299</v>
      </c>
      <c r="J413" s="33">
        <v>0</v>
      </c>
      <c r="K413" s="33">
        <v>0</v>
      </c>
      <c r="L413" s="33">
        <v>0</v>
      </c>
      <c r="M413" s="33">
        <v>0</v>
      </c>
      <c r="N413" s="87">
        <v>149.19999999999999</v>
      </c>
      <c r="O413" s="87">
        <v>1184.0989999999999</v>
      </c>
      <c r="P413" s="87">
        <v>776.70100000000002</v>
      </c>
      <c r="Q413" s="87">
        <v>0</v>
      </c>
      <c r="R413" s="119">
        <f t="shared" si="296"/>
        <v>0</v>
      </c>
      <c r="S413" s="87">
        <v>0</v>
      </c>
      <c r="T413" s="87">
        <v>0</v>
      </c>
      <c r="U413" s="87">
        <v>0</v>
      </c>
      <c r="V413" s="87">
        <v>0</v>
      </c>
      <c r="W413" s="87">
        <v>0</v>
      </c>
      <c r="X413" s="87">
        <v>0</v>
      </c>
      <c r="Y413" s="87">
        <v>0</v>
      </c>
      <c r="Z413" s="87">
        <v>0</v>
      </c>
      <c r="AA413" s="87">
        <v>0</v>
      </c>
      <c r="AB413" s="87">
        <v>0</v>
      </c>
      <c r="AC413" s="161">
        <v>0</v>
      </c>
      <c r="AD413" s="148">
        <f t="shared" si="306"/>
        <v>776.70100000000002</v>
      </c>
    </row>
    <row r="414" spans="1:30">
      <c r="A414" s="40"/>
      <c r="B414" s="38" t="s">
        <v>41</v>
      </c>
      <c r="C414" s="30"/>
      <c r="D414" s="31"/>
      <c r="E414" s="32"/>
      <c r="F414" s="33">
        <f>H414+I414+AD414</f>
        <v>5149.1019999999999</v>
      </c>
      <c r="G414" s="34"/>
      <c r="H414" s="33">
        <v>0</v>
      </c>
      <c r="I414" s="33">
        <f t="shared" si="294"/>
        <v>3670.7530000000002</v>
      </c>
      <c r="J414" s="33"/>
      <c r="K414" s="33">
        <v>0</v>
      </c>
      <c r="L414" s="33">
        <v>0</v>
      </c>
      <c r="M414" s="33">
        <v>0</v>
      </c>
      <c r="N414" s="87">
        <v>0</v>
      </c>
      <c r="O414" s="87">
        <v>3670.7530000000002</v>
      </c>
      <c r="P414" s="87">
        <v>1478.3489999999999</v>
      </c>
      <c r="Q414" s="87">
        <v>0</v>
      </c>
      <c r="R414" s="119">
        <f t="shared" si="296"/>
        <v>0</v>
      </c>
      <c r="S414" s="87">
        <v>0</v>
      </c>
      <c r="T414" s="87">
        <v>0</v>
      </c>
      <c r="U414" s="87">
        <v>0</v>
      </c>
      <c r="V414" s="87">
        <v>0</v>
      </c>
      <c r="W414" s="87">
        <v>0</v>
      </c>
      <c r="X414" s="87">
        <v>0</v>
      </c>
      <c r="Y414" s="87">
        <v>0</v>
      </c>
      <c r="Z414" s="87">
        <v>0</v>
      </c>
      <c r="AA414" s="87">
        <v>0</v>
      </c>
      <c r="AB414" s="87">
        <v>0</v>
      </c>
      <c r="AC414" s="161">
        <v>0</v>
      </c>
      <c r="AD414" s="148">
        <f t="shared" si="306"/>
        <v>1478.3489999999999</v>
      </c>
    </row>
    <row r="415" spans="1:30" ht="22.5">
      <c r="A415" s="20">
        <v>139</v>
      </c>
      <c r="B415" s="23" t="s">
        <v>243</v>
      </c>
      <c r="C415" s="24" t="s">
        <v>244</v>
      </c>
      <c r="D415" s="43" t="s">
        <v>245</v>
      </c>
      <c r="E415" s="26">
        <f>F416</f>
        <v>2022.058</v>
      </c>
      <c r="F415" s="27">
        <f>F416+F417</f>
        <v>20220.574000000001</v>
      </c>
      <c r="G415" s="27">
        <f>G416+G417</f>
        <v>0</v>
      </c>
      <c r="H415" s="27">
        <f>H416+H417</f>
        <v>2873.058</v>
      </c>
      <c r="I415" s="28">
        <f t="shared" si="294"/>
        <v>17347.516</v>
      </c>
      <c r="J415" s="27">
        <f t="shared" ref="J415:Q415" si="313">J416+J417</f>
        <v>2873.058</v>
      </c>
      <c r="K415" s="27">
        <f t="shared" si="313"/>
        <v>4556.6409999999996</v>
      </c>
      <c r="L415" s="27">
        <f t="shared" si="313"/>
        <v>4868.6100000000006</v>
      </c>
      <c r="M415" s="27">
        <f t="shared" si="313"/>
        <v>5701.6909999999998</v>
      </c>
      <c r="N415" s="85">
        <f t="shared" si="313"/>
        <v>2220.5740000000005</v>
      </c>
      <c r="O415" s="85">
        <f t="shared" si="313"/>
        <v>0</v>
      </c>
      <c r="P415" s="85">
        <f t="shared" si="313"/>
        <v>0</v>
      </c>
      <c r="Q415" s="85">
        <f t="shared" si="313"/>
        <v>0</v>
      </c>
      <c r="R415" s="118">
        <f t="shared" si="296"/>
        <v>0</v>
      </c>
      <c r="S415" s="85">
        <f>S416+S417</f>
        <v>0</v>
      </c>
      <c r="T415" s="85">
        <f t="shared" ref="T415:AC415" si="314">T416+T417</f>
        <v>0</v>
      </c>
      <c r="U415" s="85">
        <f t="shared" si="314"/>
        <v>0</v>
      </c>
      <c r="V415" s="85">
        <f t="shared" si="314"/>
        <v>0</v>
      </c>
      <c r="W415" s="85">
        <f t="shared" si="314"/>
        <v>0</v>
      </c>
      <c r="X415" s="85">
        <f t="shared" si="314"/>
        <v>0</v>
      </c>
      <c r="Y415" s="85">
        <f t="shared" si="314"/>
        <v>0</v>
      </c>
      <c r="Z415" s="85">
        <f t="shared" si="314"/>
        <v>0</v>
      </c>
      <c r="AA415" s="85">
        <f t="shared" si="314"/>
        <v>0</v>
      </c>
      <c r="AB415" s="85">
        <f t="shared" si="314"/>
        <v>0</v>
      </c>
      <c r="AC415" s="150">
        <f t="shared" si="314"/>
        <v>0</v>
      </c>
      <c r="AD415" s="146">
        <f t="shared" si="306"/>
        <v>0</v>
      </c>
    </row>
    <row r="416" spans="1:30">
      <c r="A416" s="40"/>
      <c r="B416" s="10" t="s">
        <v>31</v>
      </c>
      <c r="C416" s="30"/>
      <c r="D416" s="31"/>
      <c r="E416" s="32"/>
      <c r="F416" s="33">
        <f>H416+I416+AD416</f>
        <v>2022.058</v>
      </c>
      <c r="G416" s="34">
        <v>0</v>
      </c>
      <c r="H416" s="33">
        <v>287.30700000000002</v>
      </c>
      <c r="I416" s="33">
        <f t="shared" si="294"/>
        <v>1734.751</v>
      </c>
      <c r="J416" s="33">
        <v>287.30700000000002</v>
      </c>
      <c r="K416" s="33">
        <v>455.66499999999996</v>
      </c>
      <c r="L416" s="33">
        <v>486.86800000000005</v>
      </c>
      <c r="M416" s="33">
        <v>570.16</v>
      </c>
      <c r="N416" s="87">
        <v>222.05799999999999</v>
      </c>
      <c r="O416" s="87">
        <v>0</v>
      </c>
      <c r="P416" s="87">
        <v>0</v>
      </c>
      <c r="Q416" s="87">
        <v>0</v>
      </c>
      <c r="R416" s="119">
        <f t="shared" si="296"/>
        <v>0</v>
      </c>
      <c r="S416" s="87">
        <v>0</v>
      </c>
      <c r="T416" s="87">
        <v>0</v>
      </c>
      <c r="U416" s="87">
        <v>0</v>
      </c>
      <c r="V416" s="87">
        <v>0</v>
      </c>
      <c r="W416" s="87">
        <v>0</v>
      </c>
      <c r="X416" s="87">
        <v>0</v>
      </c>
      <c r="Y416" s="87">
        <v>0</v>
      </c>
      <c r="Z416" s="87">
        <v>0</v>
      </c>
      <c r="AA416" s="87">
        <v>0</v>
      </c>
      <c r="AB416" s="87">
        <v>0</v>
      </c>
      <c r="AC416" s="161">
        <v>0</v>
      </c>
      <c r="AD416" s="148">
        <f t="shared" si="306"/>
        <v>0</v>
      </c>
    </row>
    <row r="417" spans="1:30">
      <c r="A417" s="40"/>
      <c r="B417" s="10" t="s">
        <v>116</v>
      </c>
      <c r="C417" s="30"/>
      <c r="D417" s="31"/>
      <c r="E417" s="32"/>
      <c r="F417" s="33">
        <f>H417+I417+AD417</f>
        <v>18198.516</v>
      </c>
      <c r="G417" s="34">
        <v>0</v>
      </c>
      <c r="H417" s="33">
        <v>2585.7509999999997</v>
      </c>
      <c r="I417" s="33">
        <f t="shared" si="294"/>
        <v>15612.764999999999</v>
      </c>
      <c r="J417" s="33">
        <v>2585.7509999999997</v>
      </c>
      <c r="K417" s="33">
        <v>4100.9759999999997</v>
      </c>
      <c r="L417" s="33">
        <v>4381.7420000000002</v>
      </c>
      <c r="M417" s="33">
        <v>5131.5309999999999</v>
      </c>
      <c r="N417" s="87">
        <v>1998.5160000000003</v>
      </c>
      <c r="O417" s="87">
        <v>0</v>
      </c>
      <c r="P417" s="87">
        <v>0</v>
      </c>
      <c r="Q417" s="87">
        <v>0</v>
      </c>
      <c r="R417" s="119">
        <f t="shared" si="296"/>
        <v>0</v>
      </c>
      <c r="S417" s="87">
        <v>0</v>
      </c>
      <c r="T417" s="87">
        <v>0</v>
      </c>
      <c r="U417" s="87">
        <v>0</v>
      </c>
      <c r="V417" s="87">
        <v>0</v>
      </c>
      <c r="W417" s="87">
        <v>0</v>
      </c>
      <c r="X417" s="87">
        <v>0</v>
      </c>
      <c r="Y417" s="87">
        <v>0</v>
      </c>
      <c r="Z417" s="87">
        <v>0</v>
      </c>
      <c r="AA417" s="87">
        <v>0</v>
      </c>
      <c r="AB417" s="87">
        <v>0</v>
      </c>
      <c r="AC417" s="161">
        <v>0</v>
      </c>
      <c r="AD417" s="148">
        <f t="shared" si="306"/>
        <v>0</v>
      </c>
    </row>
    <row r="418" spans="1:30" ht="22.5">
      <c r="A418" s="20">
        <v>140</v>
      </c>
      <c r="B418" s="23" t="s">
        <v>246</v>
      </c>
      <c r="C418" s="24" t="s">
        <v>244</v>
      </c>
      <c r="D418" s="43" t="s">
        <v>132</v>
      </c>
      <c r="E418" s="26">
        <f>F419</f>
        <v>2002.6210000000001</v>
      </c>
      <c r="F418" s="27">
        <f>F419+F420</f>
        <v>20026.205999999998</v>
      </c>
      <c r="G418" s="27">
        <f>G419+G420</f>
        <v>0</v>
      </c>
      <c r="H418" s="27">
        <f>H419+H420</f>
        <v>0</v>
      </c>
      <c r="I418" s="28">
        <f t="shared" ref="I418:I426" si="315">SUM(K418:O418)</f>
        <v>20026.205999999998</v>
      </c>
      <c r="J418" s="27">
        <f t="shared" ref="J418:Q418" si="316">J419+J420</f>
        <v>0</v>
      </c>
      <c r="K418" s="27">
        <f t="shared" si="316"/>
        <v>3966.0979999999995</v>
      </c>
      <c r="L418" s="27">
        <f t="shared" si="316"/>
        <v>6678.9290000000001</v>
      </c>
      <c r="M418" s="27">
        <f t="shared" si="316"/>
        <v>6354.973</v>
      </c>
      <c r="N418" s="85">
        <f t="shared" si="316"/>
        <v>3026.2060000000001</v>
      </c>
      <c r="O418" s="85">
        <f t="shared" si="316"/>
        <v>0</v>
      </c>
      <c r="P418" s="85">
        <f t="shared" si="316"/>
        <v>0</v>
      </c>
      <c r="Q418" s="85">
        <f t="shared" si="316"/>
        <v>0</v>
      </c>
      <c r="R418" s="118">
        <f t="shared" ref="R418:R426" si="317">SUM(S418:AC418)</f>
        <v>0</v>
      </c>
      <c r="S418" s="85">
        <f>S419+S420</f>
        <v>0</v>
      </c>
      <c r="T418" s="85">
        <f t="shared" ref="T418:AC418" si="318">T419+T420</f>
        <v>0</v>
      </c>
      <c r="U418" s="85">
        <f t="shared" si="318"/>
        <v>0</v>
      </c>
      <c r="V418" s="85">
        <f t="shared" si="318"/>
        <v>0</v>
      </c>
      <c r="W418" s="85">
        <f t="shared" si="318"/>
        <v>0</v>
      </c>
      <c r="X418" s="85">
        <f t="shared" si="318"/>
        <v>0</v>
      </c>
      <c r="Y418" s="85">
        <f t="shared" si="318"/>
        <v>0</v>
      </c>
      <c r="Z418" s="85">
        <f t="shared" si="318"/>
        <v>0</v>
      </c>
      <c r="AA418" s="85">
        <f t="shared" si="318"/>
        <v>0</v>
      </c>
      <c r="AB418" s="85">
        <f t="shared" si="318"/>
        <v>0</v>
      </c>
      <c r="AC418" s="150">
        <f t="shared" si="318"/>
        <v>0</v>
      </c>
      <c r="AD418" s="146">
        <f t="shared" si="306"/>
        <v>0</v>
      </c>
    </row>
    <row r="419" spans="1:30">
      <c r="A419" s="40"/>
      <c r="B419" s="10" t="s">
        <v>31</v>
      </c>
      <c r="C419" s="30"/>
      <c r="D419" s="31"/>
      <c r="E419" s="32"/>
      <c r="F419" s="33">
        <f>H419+I419+AD419</f>
        <v>2002.6210000000001</v>
      </c>
      <c r="G419" s="34">
        <v>0</v>
      </c>
      <c r="H419" s="33">
        <v>0</v>
      </c>
      <c r="I419" s="33">
        <f t="shared" si="315"/>
        <v>2002.6210000000001</v>
      </c>
      <c r="J419" s="33">
        <v>0</v>
      </c>
      <c r="K419" s="33">
        <v>396.61099999999999</v>
      </c>
      <c r="L419" s="33">
        <v>667.89399999999989</v>
      </c>
      <c r="M419" s="33">
        <v>635.495</v>
      </c>
      <c r="N419" s="87">
        <v>302.62099999999998</v>
      </c>
      <c r="O419" s="87">
        <v>0</v>
      </c>
      <c r="P419" s="87">
        <v>0</v>
      </c>
      <c r="Q419" s="87">
        <v>0</v>
      </c>
      <c r="R419" s="119">
        <f t="shared" si="317"/>
        <v>0</v>
      </c>
      <c r="S419" s="87">
        <v>0</v>
      </c>
      <c r="T419" s="87">
        <v>0</v>
      </c>
      <c r="U419" s="87">
        <v>0</v>
      </c>
      <c r="V419" s="87">
        <v>0</v>
      </c>
      <c r="W419" s="87">
        <v>0</v>
      </c>
      <c r="X419" s="87">
        <v>0</v>
      </c>
      <c r="Y419" s="87">
        <v>0</v>
      </c>
      <c r="Z419" s="87">
        <v>0</v>
      </c>
      <c r="AA419" s="87">
        <v>0</v>
      </c>
      <c r="AB419" s="87">
        <v>0</v>
      </c>
      <c r="AC419" s="161">
        <v>0</v>
      </c>
      <c r="AD419" s="148">
        <f t="shared" si="306"/>
        <v>0</v>
      </c>
    </row>
    <row r="420" spans="1:30">
      <c r="A420" s="40"/>
      <c r="B420" s="10" t="s">
        <v>116</v>
      </c>
      <c r="C420" s="30"/>
      <c r="D420" s="31"/>
      <c r="E420" s="32"/>
      <c r="F420" s="33">
        <f>H420+I420+AD420</f>
        <v>18023.584999999999</v>
      </c>
      <c r="G420" s="34">
        <v>0</v>
      </c>
      <c r="H420" s="33">
        <v>0</v>
      </c>
      <c r="I420" s="33">
        <f t="shared" si="315"/>
        <v>18023.584999999999</v>
      </c>
      <c r="J420" s="33">
        <v>0</v>
      </c>
      <c r="K420" s="33">
        <v>3569.4869999999996</v>
      </c>
      <c r="L420" s="33">
        <v>6011.0349999999999</v>
      </c>
      <c r="M420" s="33">
        <v>5719.4780000000001</v>
      </c>
      <c r="N420" s="87">
        <v>2723.585</v>
      </c>
      <c r="O420" s="87">
        <v>0</v>
      </c>
      <c r="P420" s="87">
        <v>0</v>
      </c>
      <c r="Q420" s="87">
        <v>0</v>
      </c>
      <c r="R420" s="119">
        <f t="shared" si="317"/>
        <v>0</v>
      </c>
      <c r="S420" s="87">
        <v>0</v>
      </c>
      <c r="T420" s="87">
        <v>0</v>
      </c>
      <c r="U420" s="87">
        <v>0</v>
      </c>
      <c r="V420" s="87">
        <v>0</v>
      </c>
      <c r="W420" s="87">
        <v>0</v>
      </c>
      <c r="X420" s="87">
        <v>0</v>
      </c>
      <c r="Y420" s="87">
        <v>0</v>
      </c>
      <c r="Z420" s="87">
        <v>0</v>
      </c>
      <c r="AA420" s="87">
        <v>0</v>
      </c>
      <c r="AB420" s="87">
        <v>0</v>
      </c>
      <c r="AC420" s="161">
        <v>0</v>
      </c>
      <c r="AD420" s="148">
        <f t="shared" si="306"/>
        <v>0</v>
      </c>
    </row>
    <row r="421" spans="1:30" ht="22.5">
      <c r="A421" s="51">
        <v>141</v>
      </c>
      <c r="B421" s="23" t="s">
        <v>329</v>
      </c>
      <c r="C421" s="24" t="s">
        <v>244</v>
      </c>
      <c r="D421" s="47" t="s">
        <v>102</v>
      </c>
      <c r="E421" s="26">
        <f>F422</f>
        <v>29270</v>
      </c>
      <c r="F421" s="27">
        <f>F422</f>
        <v>29270</v>
      </c>
      <c r="G421" s="28">
        <f>G422</f>
        <v>0</v>
      </c>
      <c r="H421" s="28">
        <f>H422</f>
        <v>0</v>
      </c>
      <c r="I421" s="28">
        <f t="shared" si="315"/>
        <v>29270</v>
      </c>
      <c r="J421" s="27">
        <f>J422</f>
        <v>0</v>
      </c>
      <c r="K421" s="27">
        <f t="shared" ref="K421:Q421" si="319">K422</f>
        <v>0</v>
      </c>
      <c r="L421" s="27">
        <f t="shared" si="319"/>
        <v>0</v>
      </c>
      <c r="M421" s="27">
        <f t="shared" si="319"/>
        <v>3270</v>
      </c>
      <c r="N421" s="85">
        <f t="shared" si="319"/>
        <v>11000</v>
      </c>
      <c r="O421" s="85">
        <f t="shared" si="319"/>
        <v>15000</v>
      </c>
      <c r="P421" s="85">
        <f t="shared" si="319"/>
        <v>0</v>
      </c>
      <c r="Q421" s="85">
        <f t="shared" si="319"/>
        <v>0</v>
      </c>
      <c r="R421" s="118">
        <f t="shared" si="317"/>
        <v>0</v>
      </c>
      <c r="S421" s="85">
        <f>S422</f>
        <v>0</v>
      </c>
      <c r="T421" s="85">
        <f t="shared" ref="T421:AC421" si="320">T422</f>
        <v>0</v>
      </c>
      <c r="U421" s="85">
        <f t="shared" si="320"/>
        <v>0</v>
      </c>
      <c r="V421" s="85">
        <f t="shared" si="320"/>
        <v>0</v>
      </c>
      <c r="W421" s="85">
        <f t="shared" si="320"/>
        <v>0</v>
      </c>
      <c r="X421" s="85">
        <f t="shared" si="320"/>
        <v>0</v>
      </c>
      <c r="Y421" s="85">
        <f t="shared" si="320"/>
        <v>0</v>
      </c>
      <c r="Z421" s="85">
        <f t="shared" si="320"/>
        <v>0</v>
      </c>
      <c r="AA421" s="85">
        <f t="shared" si="320"/>
        <v>0</v>
      </c>
      <c r="AB421" s="85">
        <f t="shared" si="320"/>
        <v>0</v>
      </c>
      <c r="AC421" s="150">
        <f t="shared" si="320"/>
        <v>0</v>
      </c>
      <c r="AD421" s="146">
        <f t="shared" si="306"/>
        <v>0</v>
      </c>
    </row>
    <row r="422" spans="1:30">
      <c r="A422" s="40"/>
      <c r="B422" s="10" t="s">
        <v>31</v>
      </c>
      <c r="C422" s="30"/>
      <c r="D422" s="31"/>
      <c r="E422" s="32"/>
      <c r="F422" s="33">
        <f>H422+I422+AD422</f>
        <v>29270</v>
      </c>
      <c r="G422" s="33">
        <v>0</v>
      </c>
      <c r="H422" s="33">
        <v>0</v>
      </c>
      <c r="I422" s="33">
        <f t="shared" si="315"/>
        <v>29270</v>
      </c>
      <c r="J422" s="33">
        <v>0</v>
      </c>
      <c r="K422" s="33">
        <v>0</v>
      </c>
      <c r="L422" s="33">
        <v>0</v>
      </c>
      <c r="M422" s="33">
        <v>3270</v>
      </c>
      <c r="N422" s="87">
        <f>5000+2000+4000</f>
        <v>11000</v>
      </c>
      <c r="O422" s="87">
        <v>15000</v>
      </c>
      <c r="P422" s="86">
        <v>0</v>
      </c>
      <c r="Q422" s="87">
        <v>0</v>
      </c>
      <c r="R422" s="119">
        <f t="shared" si="317"/>
        <v>0</v>
      </c>
      <c r="S422" s="86">
        <v>0</v>
      </c>
      <c r="T422" s="87">
        <v>0</v>
      </c>
      <c r="U422" s="87">
        <v>0</v>
      </c>
      <c r="V422" s="87">
        <v>0</v>
      </c>
      <c r="W422" s="87">
        <v>0</v>
      </c>
      <c r="X422" s="87">
        <v>0</v>
      </c>
      <c r="Y422" s="87">
        <v>0</v>
      </c>
      <c r="Z422" s="87">
        <v>0</v>
      </c>
      <c r="AA422" s="87">
        <v>0</v>
      </c>
      <c r="AB422" s="87">
        <v>0</v>
      </c>
      <c r="AC422" s="161">
        <v>0</v>
      </c>
      <c r="AD422" s="148">
        <f t="shared" si="306"/>
        <v>0</v>
      </c>
    </row>
    <row r="423" spans="1:30" ht="29.25">
      <c r="A423" s="20">
        <v>142</v>
      </c>
      <c r="B423" s="37" t="s">
        <v>247</v>
      </c>
      <c r="C423" s="24" t="s">
        <v>248</v>
      </c>
      <c r="D423" s="25" t="s">
        <v>388</v>
      </c>
      <c r="E423" s="26">
        <f>F424</f>
        <v>22652.896000000001</v>
      </c>
      <c r="F423" s="27">
        <f>F424</f>
        <v>22652.896000000001</v>
      </c>
      <c r="G423" s="28">
        <f>G424</f>
        <v>9522.5820000000003</v>
      </c>
      <c r="H423" s="28">
        <f>H424</f>
        <v>10714.675999999999</v>
      </c>
      <c r="I423" s="28">
        <f t="shared" si="315"/>
        <v>4610.2199999999993</v>
      </c>
      <c r="J423" s="27">
        <f>J424</f>
        <v>1192.0940000000001</v>
      </c>
      <c r="K423" s="27">
        <f t="shared" ref="K423:Q423" si="321">K424</f>
        <v>257.34100000000001</v>
      </c>
      <c r="L423" s="27">
        <f t="shared" si="321"/>
        <v>795.904</v>
      </c>
      <c r="M423" s="27">
        <f t="shared" si="321"/>
        <v>882.33900000000006</v>
      </c>
      <c r="N423" s="85">
        <f t="shared" si="321"/>
        <v>824.63599999999997</v>
      </c>
      <c r="O423" s="85">
        <f t="shared" si="321"/>
        <v>1850</v>
      </c>
      <c r="P423" s="88">
        <f t="shared" si="321"/>
        <v>4328</v>
      </c>
      <c r="Q423" s="85">
        <f t="shared" si="321"/>
        <v>1000</v>
      </c>
      <c r="R423" s="118">
        <f t="shared" si="317"/>
        <v>2000</v>
      </c>
      <c r="S423" s="85">
        <f>S424</f>
        <v>1000</v>
      </c>
      <c r="T423" s="85">
        <f t="shared" ref="T423:AC423" si="322">T424</f>
        <v>1000</v>
      </c>
      <c r="U423" s="85">
        <f t="shared" si="322"/>
        <v>0</v>
      </c>
      <c r="V423" s="85">
        <f t="shared" si="322"/>
        <v>0</v>
      </c>
      <c r="W423" s="85">
        <f t="shared" si="322"/>
        <v>0</v>
      </c>
      <c r="X423" s="85">
        <f t="shared" si="322"/>
        <v>0</v>
      </c>
      <c r="Y423" s="85">
        <f t="shared" si="322"/>
        <v>0</v>
      </c>
      <c r="Z423" s="85">
        <f t="shared" si="322"/>
        <v>0</v>
      </c>
      <c r="AA423" s="85">
        <f t="shared" si="322"/>
        <v>0</v>
      </c>
      <c r="AB423" s="85">
        <f t="shared" si="322"/>
        <v>0</v>
      </c>
      <c r="AC423" s="150">
        <f t="shared" si="322"/>
        <v>0</v>
      </c>
      <c r="AD423" s="146">
        <f t="shared" si="306"/>
        <v>7328</v>
      </c>
    </row>
    <row r="424" spans="1:30">
      <c r="A424" s="40"/>
      <c r="B424" s="10" t="s">
        <v>31</v>
      </c>
      <c r="C424" s="30"/>
      <c r="D424" s="31"/>
      <c r="E424" s="32"/>
      <c r="F424" s="33">
        <f>H424+I424+AD424</f>
        <v>22652.896000000001</v>
      </c>
      <c r="G424" s="34">
        <v>9522.5820000000003</v>
      </c>
      <c r="H424" s="33">
        <v>10714.675999999999</v>
      </c>
      <c r="I424" s="33">
        <f t="shared" si="315"/>
        <v>4610.2199999999993</v>
      </c>
      <c r="J424" s="33">
        <v>1192.0940000000001</v>
      </c>
      <c r="K424" s="33">
        <v>257.34100000000001</v>
      </c>
      <c r="L424" s="33">
        <v>795.904</v>
      </c>
      <c r="M424" s="33">
        <f>912.339-30</f>
        <v>882.33900000000006</v>
      </c>
      <c r="N424" s="87">
        <v>824.63599999999997</v>
      </c>
      <c r="O424" s="87">
        <v>1850</v>
      </c>
      <c r="P424" s="87">
        <v>4328</v>
      </c>
      <c r="Q424" s="87">
        <v>1000</v>
      </c>
      <c r="R424" s="119">
        <f t="shared" si="317"/>
        <v>2000</v>
      </c>
      <c r="S424" s="87">
        <v>1000</v>
      </c>
      <c r="T424" s="87">
        <v>1000</v>
      </c>
      <c r="U424" s="87">
        <v>0</v>
      </c>
      <c r="V424" s="87">
        <v>0</v>
      </c>
      <c r="W424" s="87">
        <v>0</v>
      </c>
      <c r="X424" s="87">
        <v>0</v>
      </c>
      <c r="Y424" s="87">
        <v>0</v>
      </c>
      <c r="Z424" s="87">
        <v>0</v>
      </c>
      <c r="AA424" s="87">
        <v>0</v>
      </c>
      <c r="AB424" s="87">
        <v>0</v>
      </c>
      <c r="AC424" s="161">
        <v>0</v>
      </c>
      <c r="AD424" s="148">
        <f t="shared" si="306"/>
        <v>7328</v>
      </c>
    </row>
    <row r="425" spans="1:30" ht="22.5">
      <c r="A425" s="20">
        <v>143</v>
      </c>
      <c r="B425" s="37" t="s">
        <v>249</v>
      </c>
      <c r="C425" s="24" t="s">
        <v>240</v>
      </c>
      <c r="D425" s="25" t="s">
        <v>92</v>
      </c>
      <c r="E425" s="26">
        <f>F426</f>
        <v>1751.2</v>
      </c>
      <c r="F425" s="27">
        <f>F426</f>
        <v>1751.2</v>
      </c>
      <c r="G425" s="28">
        <f>G426</f>
        <v>0</v>
      </c>
      <c r="H425" s="28">
        <f>H426</f>
        <v>0</v>
      </c>
      <c r="I425" s="28">
        <f t="shared" si="315"/>
        <v>1751.2</v>
      </c>
      <c r="J425" s="27">
        <f>J426</f>
        <v>0</v>
      </c>
      <c r="K425" s="27">
        <f t="shared" ref="K425:Q425" si="323">K426</f>
        <v>350</v>
      </c>
      <c r="L425" s="27">
        <f t="shared" si="323"/>
        <v>314</v>
      </c>
      <c r="M425" s="27">
        <f t="shared" si="323"/>
        <v>150</v>
      </c>
      <c r="N425" s="85">
        <f t="shared" si="323"/>
        <v>515</v>
      </c>
      <c r="O425" s="85">
        <f t="shared" si="323"/>
        <v>422.2</v>
      </c>
      <c r="P425" s="85">
        <f t="shared" si="323"/>
        <v>0</v>
      </c>
      <c r="Q425" s="85">
        <f t="shared" si="323"/>
        <v>0</v>
      </c>
      <c r="R425" s="118">
        <f t="shared" si="317"/>
        <v>0</v>
      </c>
      <c r="S425" s="85">
        <f>S426</f>
        <v>0</v>
      </c>
      <c r="T425" s="85">
        <f t="shared" ref="T425:AC425" si="324">T426</f>
        <v>0</v>
      </c>
      <c r="U425" s="85">
        <f t="shared" si="324"/>
        <v>0</v>
      </c>
      <c r="V425" s="85">
        <f t="shared" si="324"/>
        <v>0</v>
      </c>
      <c r="W425" s="85">
        <f t="shared" si="324"/>
        <v>0</v>
      </c>
      <c r="X425" s="85">
        <f t="shared" si="324"/>
        <v>0</v>
      </c>
      <c r="Y425" s="85">
        <f t="shared" si="324"/>
        <v>0</v>
      </c>
      <c r="Z425" s="85">
        <f t="shared" si="324"/>
        <v>0</v>
      </c>
      <c r="AA425" s="85">
        <f t="shared" si="324"/>
        <v>0</v>
      </c>
      <c r="AB425" s="85">
        <f t="shared" si="324"/>
        <v>0</v>
      </c>
      <c r="AC425" s="150">
        <f t="shared" si="324"/>
        <v>0</v>
      </c>
      <c r="AD425" s="146">
        <f t="shared" si="306"/>
        <v>0</v>
      </c>
    </row>
    <row r="426" spans="1:30">
      <c r="A426" s="40"/>
      <c r="B426" s="10" t="s">
        <v>31</v>
      </c>
      <c r="C426" s="30"/>
      <c r="D426" s="31"/>
      <c r="E426" s="32"/>
      <c r="F426" s="33">
        <f>H426+I426+AD426</f>
        <v>1751.2</v>
      </c>
      <c r="G426" s="34">
        <v>0</v>
      </c>
      <c r="H426" s="33">
        <v>0</v>
      </c>
      <c r="I426" s="33">
        <f t="shared" si="315"/>
        <v>1751.2</v>
      </c>
      <c r="J426" s="33">
        <v>0</v>
      </c>
      <c r="K426" s="33">
        <v>350</v>
      </c>
      <c r="L426" s="33">
        <v>314</v>
      </c>
      <c r="M426" s="33">
        <f>500-350</f>
        <v>150</v>
      </c>
      <c r="N426" s="86">
        <v>515</v>
      </c>
      <c r="O426" s="86">
        <v>422.2</v>
      </c>
      <c r="P426" s="87">
        <v>0</v>
      </c>
      <c r="Q426" s="87">
        <v>0</v>
      </c>
      <c r="R426" s="119">
        <f t="shared" si="317"/>
        <v>0</v>
      </c>
      <c r="S426" s="87">
        <v>0</v>
      </c>
      <c r="T426" s="87">
        <v>0</v>
      </c>
      <c r="U426" s="87">
        <v>0</v>
      </c>
      <c r="V426" s="87">
        <v>0</v>
      </c>
      <c r="W426" s="87">
        <v>0</v>
      </c>
      <c r="X426" s="87">
        <v>0</v>
      </c>
      <c r="Y426" s="87">
        <v>0</v>
      </c>
      <c r="Z426" s="87">
        <v>0</v>
      </c>
      <c r="AA426" s="87">
        <v>0</v>
      </c>
      <c r="AB426" s="87">
        <v>0</v>
      </c>
      <c r="AC426" s="161">
        <v>0</v>
      </c>
      <c r="AD426" s="148">
        <f t="shared" si="306"/>
        <v>0</v>
      </c>
    </row>
    <row r="427" spans="1:30" ht="22.5">
      <c r="A427" s="20">
        <v>144</v>
      </c>
      <c r="B427" s="23" t="s">
        <v>250</v>
      </c>
      <c r="C427" s="24" t="s">
        <v>153</v>
      </c>
      <c r="D427" s="25" t="s">
        <v>251</v>
      </c>
      <c r="E427" s="26">
        <f>F428</f>
        <v>21877.5</v>
      </c>
      <c r="F427" s="27">
        <f>F428+F429+F430</f>
        <v>22021.5</v>
      </c>
      <c r="G427" s="28">
        <v>537.5</v>
      </c>
      <c r="H427" s="28">
        <v>537.5</v>
      </c>
      <c r="I427" s="28">
        <f t="shared" ref="I427:I440" si="325">SUM(K427:O427)</f>
        <v>21484</v>
      </c>
      <c r="J427" s="27">
        <f>J428+J429+J430</f>
        <v>0</v>
      </c>
      <c r="K427" s="27">
        <f t="shared" ref="K427:Q427" si="326">K428+K429+K430</f>
        <v>575</v>
      </c>
      <c r="L427" s="27">
        <f t="shared" si="326"/>
        <v>20909</v>
      </c>
      <c r="M427" s="27">
        <f t="shared" si="326"/>
        <v>0</v>
      </c>
      <c r="N427" s="85">
        <f t="shared" si="326"/>
        <v>0</v>
      </c>
      <c r="O427" s="85">
        <f t="shared" si="326"/>
        <v>0</v>
      </c>
      <c r="P427" s="85">
        <f t="shared" si="326"/>
        <v>0</v>
      </c>
      <c r="Q427" s="85">
        <f t="shared" si="326"/>
        <v>0</v>
      </c>
      <c r="R427" s="118">
        <f t="shared" ref="R427:R440" si="327">SUM(S427:AC427)</f>
        <v>0</v>
      </c>
      <c r="S427" s="85">
        <f>S428+S429+S430</f>
        <v>0</v>
      </c>
      <c r="T427" s="85">
        <f t="shared" ref="T427:AC427" si="328">T428+T429+T430</f>
        <v>0</v>
      </c>
      <c r="U427" s="85">
        <f t="shared" si="328"/>
        <v>0</v>
      </c>
      <c r="V427" s="85">
        <f t="shared" si="328"/>
        <v>0</v>
      </c>
      <c r="W427" s="85">
        <f t="shared" si="328"/>
        <v>0</v>
      </c>
      <c r="X427" s="85">
        <f t="shared" si="328"/>
        <v>0</v>
      </c>
      <c r="Y427" s="85">
        <f t="shared" si="328"/>
        <v>0</v>
      </c>
      <c r="Z427" s="85">
        <f t="shared" si="328"/>
        <v>0</v>
      </c>
      <c r="AA427" s="85">
        <f t="shared" si="328"/>
        <v>0</v>
      </c>
      <c r="AB427" s="85">
        <f t="shared" si="328"/>
        <v>0</v>
      </c>
      <c r="AC427" s="150">
        <f t="shared" si="328"/>
        <v>0</v>
      </c>
      <c r="AD427" s="146">
        <f t="shared" si="306"/>
        <v>0</v>
      </c>
    </row>
    <row r="428" spans="1:30">
      <c r="A428" s="40"/>
      <c r="B428" s="10" t="s">
        <v>31</v>
      </c>
      <c r="C428" s="30"/>
      <c r="D428" s="31"/>
      <c r="E428" s="32"/>
      <c r="F428" s="33">
        <f>H428+I428+AD428</f>
        <v>21877.5</v>
      </c>
      <c r="G428" s="34">
        <v>537.5</v>
      </c>
      <c r="H428" s="33">
        <v>537.5</v>
      </c>
      <c r="I428" s="33">
        <f t="shared" si="325"/>
        <v>21340</v>
      </c>
      <c r="J428" s="33">
        <v>0</v>
      </c>
      <c r="K428" s="33">
        <v>575</v>
      </c>
      <c r="L428" s="39">
        <v>20765</v>
      </c>
      <c r="M428" s="33">
        <v>0</v>
      </c>
      <c r="N428" s="87">
        <v>0</v>
      </c>
      <c r="O428" s="87">
        <v>0</v>
      </c>
      <c r="P428" s="87">
        <v>0</v>
      </c>
      <c r="Q428" s="87">
        <v>0</v>
      </c>
      <c r="R428" s="119">
        <f t="shared" si="327"/>
        <v>0</v>
      </c>
      <c r="S428" s="87">
        <v>0</v>
      </c>
      <c r="T428" s="87">
        <v>0</v>
      </c>
      <c r="U428" s="87">
        <v>0</v>
      </c>
      <c r="V428" s="87">
        <v>0</v>
      </c>
      <c r="W428" s="87">
        <v>0</v>
      </c>
      <c r="X428" s="87">
        <v>0</v>
      </c>
      <c r="Y428" s="87">
        <v>0</v>
      </c>
      <c r="Z428" s="87">
        <v>0</v>
      </c>
      <c r="AA428" s="87">
        <v>0</v>
      </c>
      <c r="AB428" s="87">
        <v>0</v>
      </c>
      <c r="AC428" s="161">
        <v>0</v>
      </c>
      <c r="AD428" s="148">
        <f t="shared" si="306"/>
        <v>0</v>
      </c>
    </row>
    <row r="429" spans="1:30">
      <c r="A429" s="40"/>
      <c r="B429" s="10" t="s">
        <v>41</v>
      </c>
      <c r="C429" s="30"/>
      <c r="D429" s="31"/>
      <c r="E429" s="32"/>
      <c r="F429" s="33">
        <f>H429+I429+AD429</f>
        <v>0</v>
      </c>
      <c r="G429" s="34">
        <v>0</v>
      </c>
      <c r="H429" s="33">
        <v>0</v>
      </c>
      <c r="I429" s="33">
        <f t="shared" si="325"/>
        <v>0</v>
      </c>
      <c r="J429" s="33">
        <v>0</v>
      </c>
      <c r="K429" s="33">
        <v>0</v>
      </c>
      <c r="L429" s="39">
        <v>0</v>
      </c>
      <c r="M429" s="33">
        <v>0</v>
      </c>
      <c r="N429" s="87">
        <v>0</v>
      </c>
      <c r="O429" s="87">
        <v>0</v>
      </c>
      <c r="P429" s="87">
        <v>0</v>
      </c>
      <c r="Q429" s="87">
        <v>0</v>
      </c>
      <c r="R429" s="119">
        <f t="shared" si="327"/>
        <v>0</v>
      </c>
      <c r="S429" s="87">
        <v>0</v>
      </c>
      <c r="T429" s="87">
        <v>0</v>
      </c>
      <c r="U429" s="87">
        <v>0</v>
      </c>
      <c r="V429" s="87">
        <v>0</v>
      </c>
      <c r="W429" s="87">
        <v>0</v>
      </c>
      <c r="X429" s="87">
        <v>0</v>
      </c>
      <c r="Y429" s="87">
        <v>0</v>
      </c>
      <c r="Z429" s="87">
        <v>0</v>
      </c>
      <c r="AA429" s="87">
        <v>0</v>
      </c>
      <c r="AB429" s="87">
        <v>0</v>
      </c>
      <c r="AC429" s="161">
        <v>0</v>
      </c>
      <c r="AD429" s="148">
        <f t="shared" si="306"/>
        <v>0</v>
      </c>
    </row>
    <row r="430" spans="1:30">
      <c r="A430" s="40"/>
      <c r="B430" s="10" t="s">
        <v>252</v>
      </c>
      <c r="C430" s="30"/>
      <c r="D430" s="31"/>
      <c r="E430" s="32"/>
      <c r="F430" s="33">
        <f>H430+I430+AD430</f>
        <v>144</v>
      </c>
      <c r="G430" s="34">
        <v>0</v>
      </c>
      <c r="H430" s="33">
        <v>0</v>
      </c>
      <c r="I430" s="33">
        <f t="shared" si="325"/>
        <v>144</v>
      </c>
      <c r="J430" s="33">
        <v>0</v>
      </c>
      <c r="K430" s="33">
        <v>0</v>
      </c>
      <c r="L430" s="33">
        <v>144</v>
      </c>
      <c r="M430" s="33">
        <v>0</v>
      </c>
      <c r="N430" s="87">
        <v>0</v>
      </c>
      <c r="O430" s="87">
        <v>0</v>
      </c>
      <c r="P430" s="87">
        <v>0</v>
      </c>
      <c r="Q430" s="87">
        <v>0</v>
      </c>
      <c r="R430" s="119">
        <f t="shared" si="327"/>
        <v>0</v>
      </c>
      <c r="S430" s="87">
        <v>0</v>
      </c>
      <c r="T430" s="87">
        <v>0</v>
      </c>
      <c r="U430" s="87">
        <v>0</v>
      </c>
      <c r="V430" s="87">
        <v>0</v>
      </c>
      <c r="W430" s="87">
        <v>0</v>
      </c>
      <c r="X430" s="87">
        <v>0</v>
      </c>
      <c r="Y430" s="87">
        <v>0</v>
      </c>
      <c r="Z430" s="87">
        <v>0</v>
      </c>
      <c r="AA430" s="87">
        <v>0</v>
      </c>
      <c r="AB430" s="87">
        <v>0</v>
      </c>
      <c r="AC430" s="161">
        <v>0</v>
      </c>
      <c r="AD430" s="148">
        <f t="shared" si="306"/>
        <v>0</v>
      </c>
    </row>
    <row r="431" spans="1:30" ht="29.25">
      <c r="A431" s="51">
        <v>145</v>
      </c>
      <c r="B431" s="37" t="s">
        <v>355</v>
      </c>
      <c r="C431" s="24" t="s">
        <v>426</v>
      </c>
      <c r="D431" s="47" t="s">
        <v>151</v>
      </c>
      <c r="E431" s="26">
        <f>F432</f>
        <v>8756.5679999999993</v>
      </c>
      <c r="F431" s="27">
        <f>F432+F433</f>
        <v>14667.506999999998</v>
      </c>
      <c r="G431" s="27">
        <f>G432+G433</f>
        <v>0</v>
      </c>
      <c r="H431" s="27">
        <f>H432+H433</f>
        <v>0</v>
      </c>
      <c r="I431" s="28">
        <f t="shared" si="325"/>
        <v>14667.507000000001</v>
      </c>
      <c r="J431" s="27">
        <f t="shared" ref="J431:Q431" si="329">J432+J433</f>
        <v>0</v>
      </c>
      <c r="K431" s="27">
        <f t="shared" si="329"/>
        <v>0</v>
      </c>
      <c r="L431" s="27">
        <f t="shared" si="329"/>
        <v>0</v>
      </c>
      <c r="M431" s="27">
        <f t="shared" si="329"/>
        <v>0</v>
      </c>
      <c r="N431" s="85">
        <f t="shared" si="329"/>
        <v>1086.0929999999998</v>
      </c>
      <c r="O431" s="85">
        <f t="shared" si="329"/>
        <v>13581.414000000001</v>
      </c>
      <c r="P431" s="85">
        <f t="shared" si="329"/>
        <v>0</v>
      </c>
      <c r="Q431" s="85">
        <f t="shared" si="329"/>
        <v>0</v>
      </c>
      <c r="R431" s="118">
        <f t="shared" ref="R431:R436" si="330">SUM(S431:AC431)</f>
        <v>0</v>
      </c>
      <c r="S431" s="85">
        <f>S432+S433</f>
        <v>0</v>
      </c>
      <c r="T431" s="85">
        <f t="shared" ref="T431:AC431" si="331">T432+T433</f>
        <v>0</v>
      </c>
      <c r="U431" s="85">
        <f t="shared" si="331"/>
        <v>0</v>
      </c>
      <c r="V431" s="85">
        <f t="shared" si="331"/>
        <v>0</v>
      </c>
      <c r="W431" s="85">
        <f t="shared" si="331"/>
        <v>0</v>
      </c>
      <c r="X431" s="85">
        <f t="shared" si="331"/>
        <v>0</v>
      </c>
      <c r="Y431" s="85">
        <f t="shared" si="331"/>
        <v>0</v>
      </c>
      <c r="Z431" s="85">
        <f t="shared" si="331"/>
        <v>0</v>
      </c>
      <c r="AA431" s="85">
        <f t="shared" si="331"/>
        <v>0</v>
      </c>
      <c r="AB431" s="85">
        <f t="shared" si="331"/>
        <v>0</v>
      </c>
      <c r="AC431" s="150">
        <f t="shared" si="331"/>
        <v>0</v>
      </c>
      <c r="AD431" s="146">
        <f t="shared" si="306"/>
        <v>0</v>
      </c>
    </row>
    <row r="432" spans="1:30">
      <c r="A432" s="40"/>
      <c r="B432" s="10" t="s">
        <v>31</v>
      </c>
      <c r="C432" s="30"/>
      <c r="D432" s="31"/>
      <c r="E432" s="32"/>
      <c r="F432" s="33">
        <f t="shared" ref="F432:F440" si="332">H432+I432+AD432</f>
        <v>8756.5679999999993</v>
      </c>
      <c r="G432" s="34">
        <v>0</v>
      </c>
      <c r="H432" s="33">
        <v>0</v>
      </c>
      <c r="I432" s="33">
        <f t="shared" si="325"/>
        <v>8756.5679999999993</v>
      </c>
      <c r="J432" s="33">
        <v>0</v>
      </c>
      <c r="K432" s="33">
        <v>0</v>
      </c>
      <c r="L432" s="33">
        <v>0</v>
      </c>
      <c r="M432" s="35">
        <v>0</v>
      </c>
      <c r="N432" s="86">
        <v>734.80399999999997</v>
      </c>
      <c r="O432" s="86">
        <f>3489.464+4396+89.79+46.51</f>
        <v>8021.7640000000001</v>
      </c>
      <c r="P432" s="87">
        <v>0</v>
      </c>
      <c r="Q432" s="87">
        <v>0</v>
      </c>
      <c r="R432" s="119">
        <f t="shared" si="330"/>
        <v>0</v>
      </c>
      <c r="S432" s="87">
        <v>0</v>
      </c>
      <c r="T432" s="87">
        <v>0</v>
      </c>
      <c r="U432" s="87">
        <v>0</v>
      </c>
      <c r="V432" s="87">
        <v>0</v>
      </c>
      <c r="W432" s="87">
        <v>0</v>
      </c>
      <c r="X432" s="87">
        <v>0</v>
      </c>
      <c r="Y432" s="87">
        <v>0</v>
      </c>
      <c r="Z432" s="87">
        <v>0</v>
      </c>
      <c r="AA432" s="87">
        <v>0</v>
      </c>
      <c r="AB432" s="87">
        <v>0</v>
      </c>
      <c r="AC432" s="161">
        <v>0</v>
      </c>
      <c r="AD432" s="148">
        <f t="shared" si="306"/>
        <v>0</v>
      </c>
    </row>
    <row r="433" spans="1:30">
      <c r="A433" s="40"/>
      <c r="B433" s="38" t="s">
        <v>41</v>
      </c>
      <c r="C433" s="30"/>
      <c r="D433" s="31"/>
      <c r="E433" s="32"/>
      <c r="F433" s="33">
        <f t="shared" si="332"/>
        <v>5910.9389999999994</v>
      </c>
      <c r="G433" s="34">
        <v>0</v>
      </c>
      <c r="H433" s="33">
        <v>0</v>
      </c>
      <c r="I433" s="33">
        <f t="shared" si="325"/>
        <v>5910.9389999999994</v>
      </c>
      <c r="J433" s="33">
        <v>0</v>
      </c>
      <c r="K433" s="33">
        <v>0</v>
      </c>
      <c r="L433" s="33">
        <v>0</v>
      </c>
      <c r="M433" s="33">
        <v>0</v>
      </c>
      <c r="N433" s="86">
        <v>351.28899999999999</v>
      </c>
      <c r="O433" s="86">
        <v>5559.65</v>
      </c>
      <c r="P433" s="87">
        <v>0</v>
      </c>
      <c r="Q433" s="87">
        <v>0</v>
      </c>
      <c r="R433" s="119">
        <f t="shared" si="330"/>
        <v>0</v>
      </c>
      <c r="S433" s="87">
        <v>0</v>
      </c>
      <c r="T433" s="87">
        <v>0</v>
      </c>
      <c r="U433" s="87">
        <v>0</v>
      </c>
      <c r="V433" s="87">
        <v>0</v>
      </c>
      <c r="W433" s="87">
        <v>0</v>
      </c>
      <c r="X433" s="87">
        <v>0</v>
      </c>
      <c r="Y433" s="87">
        <v>0</v>
      </c>
      <c r="Z433" s="87">
        <v>0</v>
      </c>
      <c r="AA433" s="87">
        <v>0</v>
      </c>
      <c r="AB433" s="87">
        <v>0</v>
      </c>
      <c r="AC433" s="161">
        <v>0</v>
      </c>
      <c r="AD433" s="148">
        <f t="shared" si="306"/>
        <v>0</v>
      </c>
    </row>
    <row r="434" spans="1:30" ht="22.5">
      <c r="A434" s="51">
        <v>146</v>
      </c>
      <c r="B434" s="37" t="s">
        <v>411</v>
      </c>
      <c r="C434" s="24" t="s">
        <v>412</v>
      </c>
      <c r="D434" s="47" t="s">
        <v>372</v>
      </c>
      <c r="E434" s="26">
        <f>F435</f>
        <v>1633.383</v>
      </c>
      <c r="F434" s="27">
        <f>F435+F436</f>
        <v>4714.6329999999998</v>
      </c>
      <c r="G434" s="27">
        <f>G435+G436</f>
        <v>0</v>
      </c>
      <c r="H434" s="27">
        <f>H435+H436</f>
        <v>0</v>
      </c>
      <c r="I434" s="28">
        <f>SUM(K434:O434)</f>
        <v>14.035</v>
      </c>
      <c r="J434" s="27">
        <f t="shared" ref="J434:Q434" si="333">J435+J436</f>
        <v>0</v>
      </c>
      <c r="K434" s="27">
        <f t="shared" si="333"/>
        <v>0</v>
      </c>
      <c r="L434" s="27">
        <f t="shared" si="333"/>
        <v>0</v>
      </c>
      <c r="M434" s="27">
        <f t="shared" si="333"/>
        <v>0</v>
      </c>
      <c r="N434" s="85">
        <f t="shared" si="333"/>
        <v>0</v>
      </c>
      <c r="O434" s="85">
        <f t="shared" si="333"/>
        <v>14.035</v>
      </c>
      <c r="P434" s="85">
        <f t="shared" si="333"/>
        <v>2784.43</v>
      </c>
      <c r="Q434" s="85">
        <f t="shared" si="333"/>
        <v>1916.1680000000001</v>
      </c>
      <c r="R434" s="118">
        <f t="shared" si="330"/>
        <v>0</v>
      </c>
      <c r="S434" s="85">
        <f>S435+S436</f>
        <v>0</v>
      </c>
      <c r="T434" s="85">
        <f t="shared" ref="T434:AC434" si="334">T435+T436</f>
        <v>0</v>
      </c>
      <c r="U434" s="85">
        <f t="shared" si="334"/>
        <v>0</v>
      </c>
      <c r="V434" s="85">
        <f t="shared" si="334"/>
        <v>0</v>
      </c>
      <c r="W434" s="85">
        <f t="shared" si="334"/>
        <v>0</v>
      </c>
      <c r="X434" s="85">
        <f t="shared" si="334"/>
        <v>0</v>
      </c>
      <c r="Y434" s="85">
        <f t="shared" si="334"/>
        <v>0</v>
      </c>
      <c r="Z434" s="85">
        <f t="shared" si="334"/>
        <v>0</v>
      </c>
      <c r="AA434" s="85">
        <f t="shared" si="334"/>
        <v>0</v>
      </c>
      <c r="AB434" s="85">
        <f t="shared" si="334"/>
        <v>0</v>
      </c>
      <c r="AC434" s="150">
        <f t="shared" si="334"/>
        <v>0</v>
      </c>
      <c r="AD434" s="146">
        <f>P434+Q434+R434</f>
        <v>4700.598</v>
      </c>
    </row>
    <row r="435" spans="1:30">
      <c r="A435" s="40"/>
      <c r="B435" s="10" t="s">
        <v>31</v>
      </c>
      <c r="C435" s="30"/>
      <c r="D435" s="31"/>
      <c r="E435" s="32"/>
      <c r="F435" s="33">
        <f>H435+I435+AD435</f>
        <v>1633.383</v>
      </c>
      <c r="G435" s="34">
        <v>0</v>
      </c>
      <c r="H435" s="33">
        <v>0</v>
      </c>
      <c r="I435" s="33">
        <f>SUM(K435:O435)</f>
        <v>14.035</v>
      </c>
      <c r="J435" s="33">
        <v>0</v>
      </c>
      <c r="K435" s="33">
        <v>0</v>
      </c>
      <c r="L435" s="33">
        <v>0</v>
      </c>
      <c r="M435" s="35">
        <v>0</v>
      </c>
      <c r="N435" s="86">
        <v>0</v>
      </c>
      <c r="O435" s="86">
        <v>14.035</v>
      </c>
      <c r="P435" s="86">
        <f>229.472+20+624.934+170.924</f>
        <v>1045.33</v>
      </c>
      <c r="Q435" s="87">
        <f>1034.9-345.622-170.924+20+35.664</f>
        <v>574.01800000000003</v>
      </c>
      <c r="R435" s="119">
        <f t="shared" si="330"/>
        <v>0</v>
      </c>
      <c r="S435" s="87">
        <v>0</v>
      </c>
      <c r="T435" s="87">
        <v>0</v>
      </c>
      <c r="U435" s="87">
        <v>0</v>
      </c>
      <c r="V435" s="87">
        <v>0</v>
      </c>
      <c r="W435" s="87">
        <v>0</v>
      </c>
      <c r="X435" s="87">
        <v>0</v>
      </c>
      <c r="Y435" s="87">
        <v>0</v>
      </c>
      <c r="Z435" s="87">
        <v>0</v>
      </c>
      <c r="AA435" s="87">
        <v>0</v>
      </c>
      <c r="AB435" s="87">
        <v>0</v>
      </c>
      <c r="AC435" s="161">
        <v>0</v>
      </c>
      <c r="AD435" s="148">
        <f>P435+Q435+R435</f>
        <v>1619.348</v>
      </c>
    </row>
    <row r="436" spans="1:30">
      <c r="A436" s="40"/>
      <c r="B436" s="38" t="s">
        <v>41</v>
      </c>
      <c r="C436" s="30"/>
      <c r="D436" s="31"/>
      <c r="E436" s="32"/>
      <c r="F436" s="33">
        <f>H436+I436+AD436</f>
        <v>3081.25</v>
      </c>
      <c r="G436" s="34">
        <v>0</v>
      </c>
      <c r="H436" s="33">
        <v>0</v>
      </c>
      <c r="I436" s="33">
        <f>SUM(K436:O436)</f>
        <v>0</v>
      </c>
      <c r="J436" s="33">
        <v>0</v>
      </c>
      <c r="K436" s="33">
        <v>0</v>
      </c>
      <c r="L436" s="33">
        <v>0</v>
      </c>
      <c r="M436" s="33">
        <v>0</v>
      </c>
      <c r="N436" s="86">
        <v>0</v>
      </c>
      <c r="O436" s="86">
        <v>0</v>
      </c>
      <c r="P436" s="86">
        <f>770.528+968.572</f>
        <v>1739.1</v>
      </c>
      <c r="Q436" s="87">
        <f>2310.722-968.572</f>
        <v>1342.15</v>
      </c>
      <c r="R436" s="119">
        <f t="shared" si="330"/>
        <v>0</v>
      </c>
      <c r="S436" s="87">
        <v>0</v>
      </c>
      <c r="T436" s="87">
        <v>0</v>
      </c>
      <c r="U436" s="87">
        <v>0</v>
      </c>
      <c r="V436" s="87">
        <v>0</v>
      </c>
      <c r="W436" s="87">
        <v>0</v>
      </c>
      <c r="X436" s="87">
        <v>0</v>
      </c>
      <c r="Y436" s="87">
        <v>0</v>
      </c>
      <c r="Z436" s="87">
        <v>0</v>
      </c>
      <c r="AA436" s="87">
        <v>0</v>
      </c>
      <c r="AB436" s="87">
        <v>0</v>
      </c>
      <c r="AC436" s="161">
        <v>0</v>
      </c>
      <c r="AD436" s="148">
        <f>P436+Q436+R436</f>
        <v>3081.25</v>
      </c>
    </row>
    <row r="437" spans="1:30" ht="24" customHeight="1">
      <c r="A437" s="20">
        <v>147</v>
      </c>
      <c r="B437" s="37" t="s">
        <v>111</v>
      </c>
      <c r="C437" s="24" t="s">
        <v>240</v>
      </c>
      <c r="D437" s="53" t="s">
        <v>321</v>
      </c>
      <c r="E437" s="26">
        <f>F438</f>
        <v>6999.8700000000008</v>
      </c>
      <c r="F437" s="27">
        <f>F438</f>
        <v>6999.8700000000008</v>
      </c>
      <c r="G437" s="28">
        <f>G438</f>
        <v>0</v>
      </c>
      <c r="H437" s="28">
        <f>H438</f>
        <v>0</v>
      </c>
      <c r="I437" s="28">
        <f t="shared" si="325"/>
        <v>5754.1</v>
      </c>
      <c r="J437" s="27">
        <f>J438</f>
        <v>0</v>
      </c>
      <c r="K437" s="27">
        <f t="shared" ref="K437:Q437" si="335">K438</f>
        <v>0</v>
      </c>
      <c r="L437" s="27">
        <f t="shared" si="335"/>
        <v>0</v>
      </c>
      <c r="M437" s="27">
        <f t="shared" si="335"/>
        <v>226.25</v>
      </c>
      <c r="N437" s="85">
        <f t="shared" si="335"/>
        <v>661.8</v>
      </c>
      <c r="O437" s="85">
        <f t="shared" si="335"/>
        <v>4866.05</v>
      </c>
      <c r="P437" s="85">
        <f t="shared" si="335"/>
        <v>1245.77</v>
      </c>
      <c r="Q437" s="85">
        <f t="shared" si="335"/>
        <v>0</v>
      </c>
      <c r="R437" s="118">
        <f t="shared" si="327"/>
        <v>0</v>
      </c>
      <c r="S437" s="85">
        <f>S438</f>
        <v>0</v>
      </c>
      <c r="T437" s="85">
        <f t="shared" ref="T437:AC437" si="336">T438</f>
        <v>0</v>
      </c>
      <c r="U437" s="85">
        <f t="shared" si="336"/>
        <v>0</v>
      </c>
      <c r="V437" s="85">
        <f t="shared" si="336"/>
        <v>0</v>
      </c>
      <c r="W437" s="85">
        <f t="shared" si="336"/>
        <v>0</v>
      </c>
      <c r="X437" s="85">
        <f t="shared" si="336"/>
        <v>0</v>
      </c>
      <c r="Y437" s="85">
        <f t="shared" si="336"/>
        <v>0</v>
      </c>
      <c r="Z437" s="85">
        <f t="shared" si="336"/>
        <v>0</v>
      </c>
      <c r="AA437" s="85">
        <f t="shared" si="336"/>
        <v>0</v>
      </c>
      <c r="AB437" s="85">
        <f t="shared" si="336"/>
        <v>0</v>
      </c>
      <c r="AC437" s="150">
        <f t="shared" si="336"/>
        <v>0</v>
      </c>
      <c r="AD437" s="146">
        <f t="shared" si="306"/>
        <v>1245.77</v>
      </c>
    </row>
    <row r="438" spans="1:30">
      <c r="A438" s="40"/>
      <c r="B438" s="10" t="s">
        <v>31</v>
      </c>
      <c r="C438" s="30"/>
      <c r="D438" s="31"/>
      <c r="E438" s="32"/>
      <c r="F438" s="33">
        <f t="shared" si="332"/>
        <v>6999.8700000000008</v>
      </c>
      <c r="G438" s="34">
        <v>0</v>
      </c>
      <c r="H438" s="33">
        <v>0</v>
      </c>
      <c r="I438" s="33">
        <f t="shared" si="325"/>
        <v>5754.1</v>
      </c>
      <c r="J438" s="33">
        <v>0</v>
      </c>
      <c r="K438" s="33">
        <v>0</v>
      </c>
      <c r="L438" s="33">
        <v>0</v>
      </c>
      <c r="M438" s="33">
        <f>505-278.75</f>
        <v>226.25</v>
      </c>
      <c r="N438" s="87">
        <v>661.8</v>
      </c>
      <c r="O438" s="86">
        <f>4811.05+55</f>
        <v>4866.05</v>
      </c>
      <c r="P438" s="87">
        <v>1245.77</v>
      </c>
      <c r="Q438" s="87"/>
      <c r="R438" s="119">
        <f t="shared" si="327"/>
        <v>0</v>
      </c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161"/>
      <c r="AD438" s="148">
        <f t="shared" si="306"/>
        <v>1245.77</v>
      </c>
    </row>
    <row r="439" spans="1:30" ht="29.25">
      <c r="A439" s="20">
        <v>148</v>
      </c>
      <c r="B439" s="37" t="s">
        <v>138</v>
      </c>
      <c r="C439" s="24" t="s">
        <v>203</v>
      </c>
      <c r="D439" s="25" t="s">
        <v>86</v>
      </c>
      <c r="E439" s="26">
        <f>F440</f>
        <v>63864.725000000006</v>
      </c>
      <c r="F439" s="69">
        <f>F440</f>
        <v>63864.725000000006</v>
      </c>
      <c r="G439" s="28">
        <f>G440</f>
        <v>0</v>
      </c>
      <c r="H439" s="28">
        <f>H440</f>
        <v>151</v>
      </c>
      <c r="I439" s="28">
        <f t="shared" si="325"/>
        <v>46033.588000000003</v>
      </c>
      <c r="J439" s="27">
        <f>J440</f>
        <v>151</v>
      </c>
      <c r="K439" s="27">
        <f t="shared" ref="K439:Q439" si="337">K440</f>
        <v>4128.3599999999997</v>
      </c>
      <c r="L439" s="27">
        <f t="shared" si="337"/>
        <v>8083.14</v>
      </c>
      <c r="M439" s="27">
        <f t="shared" si="337"/>
        <v>8960.2690000000002</v>
      </c>
      <c r="N439" s="85">
        <f t="shared" si="337"/>
        <v>9369.1490000000013</v>
      </c>
      <c r="O439" s="85">
        <f t="shared" si="337"/>
        <v>15492.67</v>
      </c>
      <c r="P439" s="85">
        <f t="shared" si="337"/>
        <v>17630.136999999999</v>
      </c>
      <c r="Q439" s="85">
        <f t="shared" si="337"/>
        <v>50</v>
      </c>
      <c r="R439" s="118">
        <f t="shared" si="327"/>
        <v>0</v>
      </c>
      <c r="S439" s="85">
        <f>S440</f>
        <v>0</v>
      </c>
      <c r="T439" s="85">
        <f t="shared" ref="T439:AC439" si="338">T440</f>
        <v>0</v>
      </c>
      <c r="U439" s="85">
        <f t="shared" si="338"/>
        <v>0</v>
      </c>
      <c r="V439" s="85">
        <f t="shared" si="338"/>
        <v>0</v>
      </c>
      <c r="W439" s="85">
        <f t="shared" si="338"/>
        <v>0</v>
      </c>
      <c r="X439" s="85">
        <f t="shared" si="338"/>
        <v>0</v>
      </c>
      <c r="Y439" s="85">
        <f t="shared" si="338"/>
        <v>0</v>
      </c>
      <c r="Z439" s="85">
        <f t="shared" si="338"/>
        <v>0</v>
      </c>
      <c r="AA439" s="85">
        <f t="shared" si="338"/>
        <v>0</v>
      </c>
      <c r="AB439" s="85">
        <f t="shared" si="338"/>
        <v>0</v>
      </c>
      <c r="AC439" s="150">
        <f t="shared" si="338"/>
        <v>0</v>
      </c>
      <c r="AD439" s="146">
        <f t="shared" si="306"/>
        <v>17680.136999999999</v>
      </c>
    </row>
    <row r="440" spans="1:30">
      <c r="A440" s="40"/>
      <c r="B440" s="10" t="s">
        <v>31</v>
      </c>
      <c r="C440" s="30"/>
      <c r="D440" s="31"/>
      <c r="E440" s="32"/>
      <c r="F440" s="33">
        <f t="shared" si="332"/>
        <v>63864.725000000006</v>
      </c>
      <c r="G440" s="34">
        <v>0</v>
      </c>
      <c r="H440" s="33">
        <v>151</v>
      </c>
      <c r="I440" s="33">
        <f t="shared" si="325"/>
        <v>46033.588000000003</v>
      </c>
      <c r="J440" s="33">
        <v>151</v>
      </c>
      <c r="K440" s="33">
        <v>4128.3599999999997</v>
      </c>
      <c r="L440" s="33">
        <v>8083.14</v>
      </c>
      <c r="M440" s="35">
        <v>8960.2690000000002</v>
      </c>
      <c r="N440" s="87">
        <v>9369.1490000000013</v>
      </c>
      <c r="O440" s="86">
        <v>15492.67</v>
      </c>
      <c r="P440" s="87">
        <v>17630.136999999999</v>
      </c>
      <c r="Q440" s="87">
        <v>50</v>
      </c>
      <c r="R440" s="119">
        <f t="shared" si="327"/>
        <v>0</v>
      </c>
      <c r="S440" s="87">
        <v>0</v>
      </c>
      <c r="T440" s="87">
        <v>0</v>
      </c>
      <c r="U440" s="87">
        <v>0</v>
      </c>
      <c r="V440" s="87">
        <v>0</v>
      </c>
      <c r="W440" s="87">
        <v>0</v>
      </c>
      <c r="X440" s="87">
        <v>0</v>
      </c>
      <c r="Y440" s="87">
        <v>0</v>
      </c>
      <c r="Z440" s="87">
        <v>0</v>
      </c>
      <c r="AA440" s="87">
        <v>0</v>
      </c>
      <c r="AB440" s="87">
        <v>0</v>
      </c>
      <c r="AC440" s="161">
        <v>0</v>
      </c>
      <c r="AD440" s="148">
        <f t="shared" si="306"/>
        <v>17680.136999999999</v>
      </c>
    </row>
    <row r="441" spans="1:30" ht="13.9" customHeight="1">
      <c r="A441" s="50" t="s">
        <v>253</v>
      </c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97"/>
      <c r="O441" s="97"/>
      <c r="P441" s="97"/>
      <c r="Q441" s="97"/>
      <c r="R441" s="121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169"/>
      <c r="AD441" s="151">
        <f t="shared" si="306"/>
        <v>0</v>
      </c>
    </row>
    <row r="442" spans="1:30" ht="29.25">
      <c r="A442" s="20">
        <v>149</v>
      </c>
      <c r="B442" s="37" t="s">
        <v>254</v>
      </c>
      <c r="C442" s="24" t="s">
        <v>255</v>
      </c>
      <c r="D442" s="25" t="s">
        <v>256</v>
      </c>
      <c r="E442" s="26">
        <f>F443</f>
        <v>364754.52999999997</v>
      </c>
      <c r="F442" s="27">
        <f>F443+F444</f>
        <v>506733.05599999998</v>
      </c>
      <c r="G442" s="27">
        <f>G443+G444</f>
        <v>173913.96</v>
      </c>
      <c r="H442" s="27">
        <f>H443+H444</f>
        <v>345838.76899999997</v>
      </c>
      <c r="I442" s="28">
        <f t="shared" ref="I442:I472" si="339">SUM(K442:O442)</f>
        <v>160894.28699999998</v>
      </c>
      <c r="J442" s="27">
        <f t="shared" ref="J442:Q442" si="340">J443+J444</f>
        <v>171924.80900000001</v>
      </c>
      <c r="K442" s="27">
        <f t="shared" si="340"/>
        <v>143421.55499999999</v>
      </c>
      <c r="L442" s="27">
        <f t="shared" si="340"/>
        <v>3693.1460000000002</v>
      </c>
      <c r="M442" s="27">
        <f t="shared" si="340"/>
        <v>5288.6120000000001</v>
      </c>
      <c r="N442" s="85">
        <f t="shared" si="340"/>
        <v>4409.55</v>
      </c>
      <c r="O442" s="85">
        <f t="shared" si="340"/>
        <v>4081.424</v>
      </c>
      <c r="P442" s="85">
        <f t="shared" si="340"/>
        <v>0</v>
      </c>
      <c r="Q442" s="85">
        <f t="shared" si="340"/>
        <v>0</v>
      </c>
      <c r="R442" s="118">
        <f t="shared" ref="R442:R472" si="341">SUM(S442:AC442)</f>
        <v>0</v>
      </c>
      <c r="S442" s="85">
        <f>S443+S444</f>
        <v>0</v>
      </c>
      <c r="T442" s="85">
        <f t="shared" ref="T442:AC442" si="342">T443+T444</f>
        <v>0</v>
      </c>
      <c r="U442" s="85">
        <f t="shared" si="342"/>
        <v>0</v>
      </c>
      <c r="V442" s="85">
        <f t="shared" si="342"/>
        <v>0</v>
      </c>
      <c r="W442" s="85">
        <f t="shared" si="342"/>
        <v>0</v>
      </c>
      <c r="X442" s="85">
        <f t="shared" si="342"/>
        <v>0</v>
      </c>
      <c r="Y442" s="85">
        <f t="shared" si="342"/>
        <v>0</v>
      </c>
      <c r="Z442" s="85">
        <f t="shared" si="342"/>
        <v>0</v>
      </c>
      <c r="AA442" s="85">
        <f t="shared" si="342"/>
        <v>0</v>
      </c>
      <c r="AB442" s="85">
        <f t="shared" si="342"/>
        <v>0</v>
      </c>
      <c r="AC442" s="150">
        <f t="shared" si="342"/>
        <v>0</v>
      </c>
      <c r="AD442" s="146">
        <f t="shared" si="306"/>
        <v>0</v>
      </c>
    </row>
    <row r="443" spans="1:30">
      <c r="A443" s="40"/>
      <c r="B443" s="10" t="s">
        <v>31</v>
      </c>
      <c r="C443" s="30"/>
      <c r="D443" s="31"/>
      <c r="E443" s="32"/>
      <c r="F443" s="33">
        <f>H443+I443+AD443</f>
        <v>364754.52999999997</v>
      </c>
      <c r="G443" s="34">
        <v>128527.04399999999</v>
      </c>
      <c r="H443" s="33">
        <v>229558.93</v>
      </c>
      <c r="I443" s="33">
        <f t="shared" si="339"/>
        <v>135195.59999999998</v>
      </c>
      <c r="J443" s="33">
        <v>101031.886</v>
      </c>
      <c r="K443" s="33">
        <v>117722.868</v>
      </c>
      <c r="L443" s="33">
        <v>3693.1460000000002</v>
      </c>
      <c r="M443" s="35">
        <f>5325.6-400+400-36.988</f>
        <v>5288.6120000000001</v>
      </c>
      <c r="N443" s="86">
        <v>4409.55</v>
      </c>
      <c r="O443" s="89">
        <v>4081.424</v>
      </c>
      <c r="P443" s="87">
        <v>0</v>
      </c>
      <c r="Q443" s="87">
        <v>0</v>
      </c>
      <c r="R443" s="119">
        <f t="shared" si="341"/>
        <v>0</v>
      </c>
      <c r="S443" s="87">
        <v>0</v>
      </c>
      <c r="T443" s="87">
        <v>0</v>
      </c>
      <c r="U443" s="87">
        <v>0</v>
      </c>
      <c r="V443" s="87">
        <v>0</v>
      </c>
      <c r="W443" s="87">
        <v>0</v>
      </c>
      <c r="X443" s="87">
        <v>0</v>
      </c>
      <c r="Y443" s="87">
        <v>0</v>
      </c>
      <c r="Z443" s="87">
        <v>0</v>
      </c>
      <c r="AA443" s="87">
        <v>0</v>
      </c>
      <c r="AB443" s="87">
        <v>0</v>
      </c>
      <c r="AC443" s="161">
        <v>0</v>
      </c>
      <c r="AD443" s="148">
        <f t="shared" si="306"/>
        <v>0</v>
      </c>
    </row>
    <row r="444" spans="1:30">
      <c r="A444" s="40"/>
      <c r="B444" s="38" t="s">
        <v>41</v>
      </c>
      <c r="C444" s="30"/>
      <c r="D444" s="31"/>
      <c r="E444" s="32"/>
      <c r="F444" s="33">
        <f>H444+I444+AD444</f>
        <v>141978.52599999998</v>
      </c>
      <c r="G444" s="34">
        <v>45386.915999999997</v>
      </c>
      <c r="H444" s="33">
        <v>116279.83899999999</v>
      </c>
      <c r="I444" s="33">
        <f t="shared" si="339"/>
        <v>25698.687000000002</v>
      </c>
      <c r="J444" s="33">
        <v>70892.922999999995</v>
      </c>
      <c r="K444" s="33">
        <v>25698.687000000002</v>
      </c>
      <c r="L444" s="33">
        <v>0</v>
      </c>
      <c r="M444" s="33">
        <v>0</v>
      </c>
      <c r="N444" s="87">
        <v>0</v>
      </c>
      <c r="O444" s="87">
        <v>0</v>
      </c>
      <c r="P444" s="87"/>
      <c r="Q444" s="87"/>
      <c r="R444" s="119">
        <f t="shared" si="341"/>
        <v>0</v>
      </c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161"/>
      <c r="AD444" s="148">
        <f t="shared" si="306"/>
        <v>0</v>
      </c>
    </row>
    <row r="445" spans="1:30" ht="22.5">
      <c r="A445" s="51">
        <v>150</v>
      </c>
      <c r="B445" s="37" t="s">
        <v>257</v>
      </c>
      <c r="C445" s="24" t="s">
        <v>258</v>
      </c>
      <c r="D445" s="47" t="s">
        <v>88</v>
      </c>
      <c r="E445" s="26">
        <f>F446</f>
        <v>5707</v>
      </c>
      <c r="F445" s="27">
        <f>F446</f>
        <v>5707</v>
      </c>
      <c r="G445" s="28">
        <f>G446</f>
        <v>0</v>
      </c>
      <c r="H445" s="28">
        <f>H446</f>
        <v>0</v>
      </c>
      <c r="I445" s="28">
        <f t="shared" si="339"/>
        <v>5707</v>
      </c>
      <c r="J445" s="27">
        <f>J446</f>
        <v>0</v>
      </c>
      <c r="K445" s="27">
        <f t="shared" ref="K445:Q445" si="343">K446</f>
        <v>550</v>
      </c>
      <c r="L445" s="27">
        <f t="shared" si="343"/>
        <v>4060</v>
      </c>
      <c r="M445" s="27">
        <f t="shared" si="343"/>
        <v>1097</v>
      </c>
      <c r="N445" s="85">
        <f t="shared" si="343"/>
        <v>0</v>
      </c>
      <c r="O445" s="85">
        <f t="shared" si="343"/>
        <v>0</v>
      </c>
      <c r="P445" s="85">
        <f t="shared" si="343"/>
        <v>0</v>
      </c>
      <c r="Q445" s="85">
        <f t="shared" si="343"/>
        <v>0</v>
      </c>
      <c r="R445" s="118">
        <f t="shared" si="341"/>
        <v>0</v>
      </c>
      <c r="S445" s="85">
        <f>S446</f>
        <v>0</v>
      </c>
      <c r="T445" s="85">
        <f t="shared" ref="T445:AC445" si="344">T446</f>
        <v>0</v>
      </c>
      <c r="U445" s="85">
        <f t="shared" si="344"/>
        <v>0</v>
      </c>
      <c r="V445" s="85">
        <f t="shared" si="344"/>
        <v>0</v>
      </c>
      <c r="W445" s="85">
        <f t="shared" si="344"/>
        <v>0</v>
      </c>
      <c r="X445" s="85">
        <f t="shared" si="344"/>
        <v>0</v>
      </c>
      <c r="Y445" s="85">
        <f t="shared" si="344"/>
        <v>0</v>
      </c>
      <c r="Z445" s="85">
        <f t="shared" si="344"/>
        <v>0</v>
      </c>
      <c r="AA445" s="85">
        <f t="shared" si="344"/>
        <v>0</v>
      </c>
      <c r="AB445" s="85">
        <f t="shared" si="344"/>
        <v>0</v>
      </c>
      <c r="AC445" s="150">
        <f t="shared" si="344"/>
        <v>0</v>
      </c>
      <c r="AD445" s="146">
        <f t="shared" si="306"/>
        <v>0</v>
      </c>
    </row>
    <row r="446" spans="1:30">
      <c r="A446" s="40"/>
      <c r="B446" s="10" t="s">
        <v>31</v>
      </c>
      <c r="C446" s="30"/>
      <c r="D446" s="31"/>
      <c r="E446" s="32"/>
      <c r="F446" s="33">
        <f>H446+I446+AD446</f>
        <v>5707</v>
      </c>
      <c r="G446" s="33">
        <v>0</v>
      </c>
      <c r="H446" s="33">
        <v>0</v>
      </c>
      <c r="I446" s="33">
        <f t="shared" si="339"/>
        <v>5707</v>
      </c>
      <c r="J446" s="33">
        <v>0</v>
      </c>
      <c r="K446" s="33">
        <v>550</v>
      </c>
      <c r="L446" s="33">
        <v>4060</v>
      </c>
      <c r="M446" s="33">
        <v>1097</v>
      </c>
      <c r="N446" s="87">
        <v>0</v>
      </c>
      <c r="O446" s="87">
        <v>0</v>
      </c>
      <c r="P446" s="87">
        <v>0</v>
      </c>
      <c r="Q446" s="87">
        <v>0</v>
      </c>
      <c r="R446" s="119">
        <f t="shared" si="341"/>
        <v>0</v>
      </c>
      <c r="S446" s="87">
        <v>0</v>
      </c>
      <c r="T446" s="87">
        <v>0</v>
      </c>
      <c r="U446" s="87">
        <v>0</v>
      </c>
      <c r="V446" s="87">
        <v>0</v>
      </c>
      <c r="W446" s="87">
        <v>0</v>
      </c>
      <c r="X446" s="87">
        <v>0</v>
      </c>
      <c r="Y446" s="87">
        <v>0</v>
      </c>
      <c r="Z446" s="87">
        <v>0</v>
      </c>
      <c r="AA446" s="87">
        <v>0</v>
      </c>
      <c r="AB446" s="87">
        <v>0</v>
      </c>
      <c r="AC446" s="161">
        <v>0</v>
      </c>
      <c r="AD446" s="148">
        <f t="shared" si="306"/>
        <v>0</v>
      </c>
    </row>
    <row r="447" spans="1:30" ht="35.25" customHeight="1">
      <c r="A447" s="20">
        <v>151</v>
      </c>
      <c r="B447" s="37" t="s">
        <v>259</v>
      </c>
      <c r="C447" s="24" t="s">
        <v>260</v>
      </c>
      <c r="D447" s="25" t="s">
        <v>76</v>
      </c>
      <c r="E447" s="26">
        <f>F448</f>
        <v>23634.995999999999</v>
      </c>
      <c r="F447" s="27">
        <f>F448+F449</f>
        <v>38654.199999999997</v>
      </c>
      <c r="G447" s="27">
        <f>G448+G449</f>
        <v>0</v>
      </c>
      <c r="H447" s="27">
        <f>H448+H449</f>
        <v>142.13900000000001</v>
      </c>
      <c r="I447" s="28">
        <f t="shared" si="339"/>
        <v>38512.061000000002</v>
      </c>
      <c r="J447" s="27">
        <f t="shared" ref="J447:Q447" si="345">J448+J449</f>
        <v>142.13900000000001</v>
      </c>
      <c r="K447" s="27">
        <f t="shared" si="345"/>
        <v>17495.302</v>
      </c>
      <c r="L447" s="27">
        <f t="shared" si="345"/>
        <v>21016.759000000002</v>
      </c>
      <c r="M447" s="27">
        <f t="shared" si="345"/>
        <v>0</v>
      </c>
      <c r="N447" s="85">
        <f t="shared" si="345"/>
        <v>0</v>
      </c>
      <c r="O447" s="85">
        <f t="shared" si="345"/>
        <v>0</v>
      </c>
      <c r="P447" s="85">
        <f t="shared" si="345"/>
        <v>0</v>
      </c>
      <c r="Q447" s="85">
        <f t="shared" si="345"/>
        <v>0</v>
      </c>
      <c r="R447" s="118">
        <f t="shared" si="341"/>
        <v>0</v>
      </c>
      <c r="S447" s="85">
        <f>S448+S449</f>
        <v>0</v>
      </c>
      <c r="T447" s="85">
        <f t="shared" ref="T447:AC447" si="346">T448+T449</f>
        <v>0</v>
      </c>
      <c r="U447" s="85">
        <f t="shared" si="346"/>
        <v>0</v>
      </c>
      <c r="V447" s="85">
        <f t="shared" si="346"/>
        <v>0</v>
      </c>
      <c r="W447" s="85">
        <f t="shared" si="346"/>
        <v>0</v>
      </c>
      <c r="X447" s="85">
        <f t="shared" si="346"/>
        <v>0</v>
      </c>
      <c r="Y447" s="85">
        <f t="shared" si="346"/>
        <v>0</v>
      </c>
      <c r="Z447" s="85">
        <f t="shared" si="346"/>
        <v>0</v>
      </c>
      <c r="AA447" s="85">
        <f t="shared" si="346"/>
        <v>0</v>
      </c>
      <c r="AB447" s="85">
        <f t="shared" si="346"/>
        <v>0</v>
      </c>
      <c r="AC447" s="150">
        <f t="shared" si="346"/>
        <v>0</v>
      </c>
      <c r="AD447" s="146">
        <f t="shared" si="306"/>
        <v>0</v>
      </c>
    </row>
    <row r="448" spans="1:30">
      <c r="A448" s="40"/>
      <c r="B448" s="10" t="s">
        <v>31</v>
      </c>
      <c r="C448" s="30"/>
      <c r="D448" s="31"/>
      <c r="E448" s="32"/>
      <c r="F448" s="33">
        <f>H448+I448+AD448</f>
        <v>23634.995999999999</v>
      </c>
      <c r="G448" s="33">
        <v>0</v>
      </c>
      <c r="H448" s="33">
        <v>69.563000000000002</v>
      </c>
      <c r="I448" s="33">
        <f t="shared" si="339"/>
        <v>23565.433000000001</v>
      </c>
      <c r="J448" s="33">
        <v>69.563000000000002</v>
      </c>
      <c r="K448" s="33">
        <v>10252.832</v>
      </c>
      <c r="L448" s="33">
        <v>13312.601000000001</v>
      </c>
      <c r="M448" s="33">
        <v>0</v>
      </c>
      <c r="N448" s="87">
        <v>0</v>
      </c>
      <c r="O448" s="87">
        <v>0</v>
      </c>
      <c r="P448" s="87">
        <v>0</v>
      </c>
      <c r="Q448" s="87">
        <v>0</v>
      </c>
      <c r="R448" s="119">
        <f t="shared" si="341"/>
        <v>0</v>
      </c>
      <c r="S448" s="87">
        <v>0</v>
      </c>
      <c r="T448" s="87">
        <v>0</v>
      </c>
      <c r="U448" s="87">
        <v>0</v>
      </c>
      <c r="V448" s="87">
        <v>0</v>
      </c>
      <c r="W448" s="87">
        <v>0</v>
      </c>
      <c r="X448" s="87">
        <v>0</v>
      </c>
      <c r="Y448" s="87">
        <v>0</v>
      </c>
      <c r="Z448" s="87">
        <v>0</v>
      </c>
      <c r="AA448" s="87">
        <v>0</v>
      </c>
      <c r="AB448" s="87">
        <v>0</v>
      </c>
      <c r="AC448" s="161">
        <v>0</v>
      </c>
      <c r="AD448" s="148">
        <f t="shared" si="306"/>
        <v>0</v>
      </c>
    </row>
    <row r="449" spans="1:30">
      <c r="A449" s="40"/>
      <c r="B449" s="38" t="s">
        <v>41</v>
      </c>
      <c r="C449" s="30"/>
      <c r="D449" s="31"/>
      <c r="E449" s="32"/>
      <c r="F449" s="33">
        <f>H449+I449+AD449</f>
        <v>15019.204</v>
      </c>
      <c r="G449" s="33">
        <v>0</v>
      </c>
      <c r="H449" s="33">
        <v>72.575999999999993</v>
      </c>
      <c r="I449" s="33">
        <f t="shared" si="339"/>
        <v>14946.628000000001</v>
      </c>
      <c r="J449" s="33">
        <v>72.575999999999993</v>
      </c>
      <c r="K449" s="33">
        <v>7242.47</v>
      </c>
      <c r="L449" s="33">
        <v>7704.1580000000004</v>
      </c>
      <c r="M449" s="33">
        <v>0</v>
      </c>
      <c r="N449" s="87">
        <v>0</v>
      </c>
      <c r="O449" s="87">
        <v>0</v>
      </c>
      <c r="P449" s="87">
        <v>0</v>
      </c>
      <c r="Q449" s="87">
        <v>0</v>
      </c>
      <c r="R449" s="119">
        <f t="shared" si="341"/>
        <v>0</v>
      </c>
      <c r="S449" s="87">
        <v>0</v>
      </c>
      <c r="T449" s="87">
        <v>0</v>
      </c>
      <c r="U449" s="87">
        <v>0</v>
      </c>
      <c r="V449" s="87">
        <v>0</v>
      </c>
      <c r="W449" s="87">
        <v>0</v>
      </c>
      <c r="X449" s="87">
        <v>0</v>
      </c>
      <c r="Y449" s="87">
        <v>0</v>
      </c>
      <c r="Z449" s="87">
        <v>0</v>
      </c>
      <c r="AA449" s="87">
        <v>0</v>
      </c>
      <c r="AB449" s="87">
        <v>0</v>
      </c>
      <c r="AC449" s="161">
        <v>0</v>
      </c>
      <c r="AD449" s="148">
        <f t="shared" si="306"/>
        <v>0</v>
      </c>
    </row>
    <row r="450" spans="1:30" ht="22.5">
      <c r="A450" s="51">
        <v>152</v>
      </c>
      <c r="B450" s="37" t="s">
        <v>261</v>
      </c>
      <c r="C450" s="24" t="s">
        <v>262</v>
      </c>
      <c r="D450" s="47" t="s">
        <v>73</v>
      </c>
      <c r="E450" s="26">
        <f>F451</f>
        <v>5761</v>
      </c>
      <c r="F450" s="27">
        <f>F451</f>
        <v>5761</v>
      </c>
      <c r="G450" s="28">
        <f>G451</f>
        <v>0</v>
      </c>
      <c r="H450" s="28">
        <f>H451</f>
        <v>44.3</v>
      </c>
      <c r="I450" s="28">
        <f t="shared" si="339"/>
        <v>5716.7</v>
      </c>
      <c r="J450" s="27">
        <f>J451</f>
        <v>44.3</v>
      </c>
      <c r="K450" s="27">
        <f t="shared" ref="K450:Q450" si="347">K451</f>
        <v>5716.7</v>
      </c>
      <c r="L450" s="27">
        <f t="shared" si="347"/>
        <v>0</v>
      </c>
      <c r="M450" s="27">
        <f t="shared" si="347"/>
        <v>0</v>
      </c>
      <c r="N450" s="85">
        <f t="shared" si="347"/>
        <v>0</v>
      </c>
      <c r="O450" s="85">
        <f t="shared" si="347"/>
        <v>0</v>
      </c>
      <c r="P450" s="85">
        <f t="shared" si="347"/>
        <v>0</v>
      </c>
      <c r="Q450" s="85">
        <f t="shared" si="347"/>
        <v>0</v>
      </c>
      <c r="R450" s="118">
        <f t="shared" si="341"/>
        <v>0</v>
      </c>
      <c r="S450" s="85">
        <f>S451</f>
        <v>0</v>
      </c>
      <c r="T450" s="85">
        <f t="shared" ref="T450:AC450" si="348">T451</f>
        <v>0</v>
      </c>
      <c r="U450" s="85">
        <f t="shared" si="348"/>
        <v>0</v>
      </c>
      <c r="V450" s="85">
        <f t="shared" si="348"/>
        <v>0</v>
      </c>
      <c r="W450" s="85">
        <f t="shared" si="348"/>
        <v>0</v>
      </c>
      <c r="X450" s="85">
        <f t="shared" si="348"/>
        <v>0</v>
      </c>
      <c r="Y450" s="85">
        <f t="shared" si="348"/>
        <v>0</v>
      </c>
      <c r="Z450" s="85">
        <f t="shared" si="348"/>
        <v>0</v>
      </c>
      <c r="AA450" s="85">
        <f t="shared" si="348"/>
        <v>0</v>
      </c>
      <c r="AB450" s="85">
        <f t="shared" si="348"/>
        <v>0</v>
      </c>
      <c r="AC450" s="150">
        <f t="shared" si="348"/>
        <v>0</v>
      </c>
      <c r="AD450" s="146">
        <f t="shared" si="306"/>
        <v>0</v>
      </c>
    </row>
    <row r="451" spans="1:30">
      <c r="A451" s="40"/>
      <c r="B451" s="10" t="s">
        <v>31</v>
      </c>
      <c r="C451" s="30"/>
      <c r="D451" s="31"/>
      <c r="E451" s="32"/>
      <c r="F451" s="33">
        <f>H451+I451+AD451</f>
        <v>5761</v>
      </c>
      <c r="G451" s="33">
        <v>0</v>
      </c>
      <c r="H451" s="33">
        <v>44.3</v>
      </c>
      <c r="I451" s="33">
        <f t="shared" si="339"/>
        <v>5716.7</v>
      </c>
      <c r="J451" s="33">
        <v>44.3</v>
      </c>
      <c r="K451" s="33">
        <v>5716.7</v>
      </c>
      <c r="L451" s="33">
        <v>0</v>
      </c>
      <c r="M451" s="33">
        <v>0</v>
      </c>
      <c r="N451" s="87">
        <v>0</v>
      </c>
      <c r="O451" s="87">
        <v>0</v>
      </c>
      <c r="P451" s="87">
        <v>0</v>
      </c>
      <c r="Q451" s="87">
        <v>0</v>
      </c>
      <c r="R451" s="119">
        <f t="shared" si="341"/>
        <v>0</v>
      </c>
      <c r="S451" s="87">
        <v>0</v>
      </c>
      <c r="T451" s="87">
        <v>0</v>
      </c>
      <c r="U451" s="87">
        <v>0</v>
      </c>
      <c r="V451" s="87">
        <v>0</v>
      </c>
      <c r="W451" s="87">
        <v>0</v>
      </c>
      <c r="X451" s="87">
        <v>0</v>
      </c>
      <c r="Y451" s="87">
        <v>0</v>
      </c>
      <c r="Z451" s="87">
        <v>0</v>
      </c>
      <c r="AA451" s="87">
        <v>0</v>
      </c>
      <c r="AB451" s="87">
        <v>0</v>
      </c>
      <c r="AC451" s="161">
        <v>0</v>
      </c>
      <c r="AD451" s="152">
        <f t="shared" si="306"/>
        <v>0</v>
      </c>
    </row>
    <row r="452" spans="1:30" ht="22.5">
      <c r="A452" s="51">
        <v>153</v>
      </c>
      <c r="B452" s="70" t="s">
        <v>332</v>
      </c>
      <c r="C452" s="24" t="s">
        <v>263</v>
      </c>
      <c r="D452" s="47" t="s">
        <v>264</v>
      </c>
      <c r="E452" s="26">
        <f>F453</f>
        <v>6756.3179999999993</v>
      </c>
      <c r="F452" s="27">
        <f>F453+F454</f>
        <v>9375.1999999999989</v>
      </c>
      <c r="G452" s="27">
        <f>G453+G454</f>
        <v>0</v>
      </c>
      <c r="H452" s="27">
        <f>H453+H454</f>
        <v>300</v>
      </c>
      <c r="I452" s="28">
        <f t="shared" si="339"/>
        <v>9075.2000000000007</v>
      </c>
      <c r="J452" s="27">
        <f t="shared" ref="J452:Q452" si="349">J453+J454</f>
        <v>300</v>
      </c>
      <c r="K452" s="27">
        <f t="shared" si="349"/>
        <v>4245</v>
      </c>
      <c r="L452" s="27">
        <f t="shared" si="349"/>
        <v>4830.2</v>
      </c>
      <c r="M452" s="27">
        <f t="shared" si="349"/>
        <v>0</v>
      </c>
      <c r="N452" s="85">
        <f t="shared" si="349"/>
        <v>0</v>
      </c>
      <c r="O452" s="85">
        <f t="shared" si="349"/>
        <v>0</v>
      </c>
      <c r="P452" s="85">
        <f t="shared" si="349"/>
        <v>0</v>
      </c>
      <c r="Q452" s="85">
        <f t="shared" si="349"/>
        <v>0</v>
      </c>
      <c r="R452" s="118">
        <f t="shared" si="341"/>
        <v>0</v>
      </c>
      <c r="S452" s="85">
        <f>S453+S454</f>
        <v>0</v>
      </c>
      <c r="T452" s="85">
        <f t="shared" ref="T452:AC452" si="350">T453+T454</f>
        <v>0</v>
      </c>
      <c r="U452" s="85">
        <f t="shared" si="350"/>
        <v>0</v>
      </c>
      <c r="V452" s="85">
        <f t="shared" si="350"/>
        <v>0</v>
      </c>
      <c r="W452" s="85">
        <f t="shared" si="350"/>
        <v>0</v>
      </c>
      <c r="X452" s="85">
        <f t="shared" si="350"/>
        <v>0</v>
      </c>
      <c r="Y452" s="85">
        <f t="shared" si="350"/>
        <v>0</v>
      </c>
      <c r="Z452" s="85">
        <f t="shared" si="350"/>
        <v>0</v>
      </c>
      <c r="AA452" s="85">
        <f t="shared" si="350"/>
        <v>0</v>
      </c>
      <c r="AB452" s="85">
        <f t="shared" si="350"/>
        <v>0</v>
      </c>
      <c r="AC452" s="150">
        <f t="shared" si="350"/>
        <v>0</v>
      </c>
      <c r="AD452" s="146">
        <f t="shared" si="306"/>
        <v>0</v>
      </c>
    </row>
    <row r="453" spans="1:30">
      <c r="A453" s="40"/>
      <c r="B453" s="10" t="s">
        <v>31</v>
      </c>
      <c r="C453" s="30"/>
      <c r="D453" s="31"/>
      <c r="E453" s="32"/>
      <c r="F453" s="33">
        <f>H453+I453+AD453</f>
        <v>6756.3179999999993</v>
      </c>
      <c r="G453" s="33">
        <v>0</v>
      </c>
      <c r="H453" s="33">
        <v>300</v>
      </c>
      <c r="I453" s="33">
        <f t="shared" si="339"/>
        <v>6456.3179999999993</v>
      </c>
      <c r="J453" s="33">
        <v>300</v>
      </c>
      <c r="K453" s="33">
        <v>1626.1179999999999</v>
      </c>
      <c r="L453" s="33">
        <v>4830.2</v>
      </c>
      <c r="M453" s="33">
        <v>0</v>
      </c>
      <c r="N453" s="87">
        <v>0</v>
      </c>
      <c r="O453" s="87">
        <v>0</v>
      </c>
      <c r="P453" s="87">
        <v>0</v>
      </c>
      <c r="Q453" s="87">
        <v>0</v>
      </c>
      <c r="R453" s="119">
        <f t="shared" si="341"/>
        <v>0</v>
      </c>
      <c r="S453" s="87">
        <v>0</v>
      </c>
      <c r="T453" s="87">
        <v>0</v>
      </c>
      <c r="U453" s="87">
        <v>0</v>
      </c>
      <c r="V453" s="87">
        <v>0</v>
      </c>
      <c r="W453" s="87">
        <v>0</v>
      </c>
      <c r="X453" s="87">
        <v>0</v>
      </c>
      <c r="Y453" s="87">
        <v>0</v>
      </c>
      <c r="Z453" s="87">
        <v>0</v>
      </c>
      <c r="AA453" s="87">
        <v>0</v>
      </c>
      <c r="AB453" s="87">
        <v>0</v>
      </c>
      <c r="AC453" s="161">
        <v>0</v>
      </c>
      <c r="AD453" s="148">
        <f t="shared" si="306"/>
        <v>0</v>
      </c>
    </row>
    <row r="454" spans="1:30">
      <c r="A454" s="40"/>
      <c r="B454" s="38" t="s">
        <v>41</v>
      </c>
      <c r="C454" s="30"/>
      <c r="D454" s="31"/>
      <c r="E454" s="32"/>
      <c r="F454" s="33">
        <f>H454+I454+AD454</f>
        <v>2618.8820000000001</v>
      </c>
      <c r="G454" s="33"/>
      <c r="H454" s="33"/>
      <c r="I454" s="33">
        <f t="shared" si="339"/>
        <v>2618.8820000000001</v>
      </c>
      <c r="J454" s="33"/>
      <c r="K454" s="33">
        <v>2618.8820000000001</v>
      </c>
      <c r="L454" s="33">
        <v>0</v>
      </c>
      <c r="M454" s="33">
        <v>0</v>
      </c>
      <c r="N454" s="87">
        <v>0</v>
      </c>
      <c r="O454" s="87">
        <v>0</v>
      </c>
      <c r="P454" s="87">
        <v>0</v>
      </c>
      <c r="Q454" s="87">
        <v>0</v>
      </c>
      <c r="R454" s="119">
        <f t="shared" si="341"/>
        <v>0</v>
      </c>
      <c r="S454" s="87">
        <v>0</v>
      </c>
      <c r="T454" s="87">
        <v>0</v>
      </c>
      <c r="U454" s="87">
        <v>0</v>
      </c>
      <c r="V454" s="87">
        <v>0</v>
      </c>
      <c r="W454" s="87">
        <v>0</v>
      </c>
      <c r="X454" s="87">
        <v>0</v>
      </c>
      <c r="Y454" s="87">
        <v>0</v>
      </c>
      <c r="Z454" s="87">
        <v>0</v>
      </c>
      <c r="AA454" s="87">
        <v>0</v>
      </c>
      <c r="AB454" s="87">
        <v>0</v>
      </c>
      <c r="AC454" s="161">
        <v>0</v>
      </c>
      <c r="AD454" s="148">
        <f t="shared" si="306"/>
        <v>0</v>
      </c>
    </row>
    <row r="455" spans="1:30" ht="22.5">
      <c r="A455" s="51">
        <v>154</v>
      </c>
      <c r="B455" s="37" t="s">
        <v>265</v>
      </c>
      <c r="C455" s="24" t="s">
        <v>266</v>
      </c>
      <c r="D455" s="47" t="s">
        <v>208</v>
      </c>
      <c r="E455" s="26">
        <f>F456</f>
        <v>2435</v>
      </c>
      <c r="F455" s="27">
        <f>F456</f>
        <v>2435</v>
      </c>
      <c r="G455" s="28">
        <f>G456</f>
        <v>0</v>
      </c>
      <c r="H455" s="28">
        <f>H456</f>
        <v>0</v>
      </c>
      <c r="I455" s="28">
        <f t="shared" si="339"/>
        <v>2435</v>
      </c>
      <c r="J455" s="27">
        <f>J456</f>
        <v>0</v>
      </c>
      <c r="K455" s="27">
        <f t="shared" ref="K455:Q455" si="351">K456</f>
        <v>1270.067</v>
      </c>
      <c r="L455" s="27">
        <f t="shared" si="351"/>
        <v>1164.933</v>
      </c>
      <c r="M455" s="27">
        <f t="shared" si="351"/>
        <v>0</v>
      </c>
      <c r="N455" s="85">
        <f t="shared" si="351"/>
        <v>0</v>
      </c>
      <c r="O455" s="85">
        <f t="shared" si="351"/>
        <v>0</v>
      </c>
      <c r="P455" s="85">
        <f t="shared" si="351"/>
        <v>0</v>
      </c>
      <c r="Q455" s="85">
        <f t="shared" si="351"/>
        <v>0</v>
      </c>
      <c r="R455" s="118">
        <f t="shared" si="341"/>
        <v>0</v>
      </c>
      <c r="S455" s="85">
        <f>S456</f>
        <v>0</v>
      </c>
      <c r="T455" s="85">
        <f t="shared" ref="T455:AC455" si="352">T456</f>
        <v>0</v>
      </c>
      <c r="U455" s="85">
        <f t="shared" si="352"/>
        <v>0</v>
      </c>
      <c r="V455" s="85">
        <f t="shared" si="352"/>
        <v>0</v>
      </c>
      <c r="W455" s="85">
        <f t="shared" si="352"/>
        <v>0</v>
      </c>
      <c r="X455" s="85">
        <f t="shared" si="352"/>
        <v>0</v>
      </c>
      <c r="Y455" s="85">
        <f t="shared" si="352"/>
        <v>0</v>
      </c>
      <c r="Z455" s="85">
        <f t="shared" si="352"/>
        <v>0</v>
      </c>
      <c r="AA455" s="85">
        <f t="shared" si="352"/>
        <v>0</v>
      </c>
      <c r="AB455" s="85">
        <f t="shared" si="352"/>
        <v>0</v>
      </c>
      <c r="AC455" s="150">
        <f t="shared" si="352"/>
        <v>0</v>
      </c>
      <c r="AD455" s="146">
        <f t="shared" si="306"/>
        <v>0</v>
      </c>
    </row>
    <row r="456" spans="1:30">
      <c r="A456" s="40"/>
      <c r="B456" s="10" t="s">
        <v>31</v>
      </c>
      <c r="C456" s="30"/>
      <c r="D456" s="31"/>
      <c r="E456" s="32"/>
      <c r="F456" s="33">
        <f>H456+I456+AD456</f>
        <v>2435</v>
      </c>
      <c r="G456" s="33">
        <v>0</v>
      </c>
      <c r="H456" s="33">
        <v>0</v>
      </c>
      <c r="I456" s="33">
        <f t="shared" si="339"/>
        <v>2435</v>
      </c>
      <c r="J456" s="33">
        <v>0</v>
      </c>
      <c r="K456" s="33">
        <v>1270.067</v>
      </c>
      <c r="L456" s="33">
        <v>1164.933</v>
      </c>
      <c r="M456" s="33">
        <v>0</v>
      </c>
      <c r="N456" s="87">
        <v>0</v>
      </c>
      <c r="O456" s="87">
        <v>0</v>
      </c>
      <c r="P456" s="87"/>
      <c r="Q456" s="87"/>
      <c r="R456" s="119">
        <f t="shared" si="341"/>
        <v>0</v>
      </c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161"/>
      <c r="AD456" s="148">
        <f t="shared" si="306"/>
        <v>0</v>
      </c>
    </row>
    <row r="457" spans="1:30" ht="29.25">
      <c r="A457" s="51">
        <v>155</v>
      </c>
      <c r="B457" s="37" t="s">
        <v>138</v>
      </c>
      <c r="C457" s="24" t="s">
        <v>389</v>
      </c>
      <c r="D457" s="47" t="s">
        <v>215</v>
      </c>
      <c r="E457" s="26">
        <f>F458</f>
        <v>493.55</v>
      </c>
      <c r="F457" s="69">
        <f>F458</f>
        <v>493.55</v>
      </c>
      <c r="G457" s="28">
        <f>G458</f>
        <v>0</v>
      </c>
      <c r="H457" s="28">
        <f>H458</f>
        <v>0</v>
      </c>
      <c r="I457" s="28">
        <f t="shared" si="339"/>
        <v>393.55</v>
      </c>
      <c r="J457" s="27">
        <f>J458</f>
        <v>80.7</v>
      </c>
      <c r="K457" s="27">
        <f t="shared" ref="K457:Q457" si="353">K458</f>
        <v>393.55</v>
      </c>
      <c r="L457" s="27">
        <f t="shared" si="353"/>
        <v>0</v>
      </c>
      <c r="M457" s="27">
        <f t="shared" si="353"/>
        <v>0</v>
      </c>
      <c r="N457" s="85">
        <f t="shared" si="353"/>
        <v>0</v>
      </c>
      <c r="O457" s="85">
        <f t="shared" si="353"/>
        <v>0</v>
      </c>
      <c r="P457" s="85">
        <f t="shared" si="353"/>
        <v>100</v>
      </c>
      <c r="Q457" s="85">
        <f t="shared" si="353"/>
        <v>0</v>
      </c>
      <c r="R457" s="118">
        <f t="shared" si="341"/>
        <v>0</v>
      </c>
      <c r="S457" s="85">
        <f>S458</f>
        <v>0</v>
      </c>
      <c r="T457" s="85">
        <f t="shared" ref="T457:AC457" si="354">T458</f>
        <v>0</v>
      </c>
      <c r="U457" s="85">
        <f t="shared" si="354"/>
        <v>0</v>
      </c>
      <c r="V457" s="85">
        <f t="shared" si="354"/>
        <v>0</v>
      </c>
      <c r="W457" s="85">
        <f t="shared" si="354"/>
        <v>0</v>
      </c>
      <c r="X457" s="85">
        <f t="shared" si="354"/>
        <v>0</v>
      </c>
      <c r="Y457" s="85">
        <f t="shared" si="354"/>
        <v>0</v>
      </c>
      <c r="Z457" s="85">
        <f t="shared" si="354"/>
        <v>0</v>
      </c>
      <c r="AA457" s="85">
        <f t="shared" si="354"/>
        <v>0</v>
      </c>
      <c r="AB457" s="85">
        <f t="shared" si="354"/>
        <v>0</v>
      </c>
      <c r="AC457" s="150">
        <f t="shared" si="354"/>
        <v>0</v>
      </c>
      <c r="AD457" s="146">
        <f t="shared" si="306"/>
        <v>100</v>
      </c>
    </row>
    <row r="458" spans="1:30">
      <c r="A458" s="40"/>
      <c r="B458" s="10" t="s">
        <v>31</v>
      </c>
      <c r="C458" s="30"/>
      <c r="D458" s="31"/>
      <c r="E458" s="32"/>
      <c r="F458" s="33">
        <f>H458+I458+AD458</f>
        <v>493.55</v>
      </c>
      <c r="G458" s="33">
        <v>0</v>
      </c>
      <c r="H458" s="33">
        <v>0</v>
      </c>
      <c r="I458" s="33">
        <f t="shared" si="339"/>
        <v>393.55</v>
      </c>
      <c r="J458" s="33">
        <v>80.7</v>
      </c>
      <c r="K458" s="33">
        <v>393.55</v>
      </c>
      <c r="L458" s="33">
        <v>0</v>
      </c>
      <c r="M458" s="35">
        <v>0</v>
      </c>
      <c r="N458" s="87">
        <v>0</v>
      </c>
      <c r="O458" s="87">
        <v>0</v>
      </c>
      <c r="P458" s="87">
        <v>100</v>
      </c>
      <c r="Q458" s="87">
        <v>0</v>
      </c>
      <c r="R458" s="119">
        <f t="shared" si="341"/>
        <v>0</v>
      </c>
      <c r="S458" s="87">
        <v>0</v>
      </c>
      <c r="T458" s="87">
        <v>0</v>
      </c>
      <c r="U458" s="87">
        <v>0</v>
      </c>
      <c r="V458" s="87">
        <v>0</v>
      </c>
      <c r="W458" s="87">
        <v>0</v>
      </c>
      <c r="X458" s="87">
        <v>0</v>
      </c>
      <c r="Y458" s="87">
        <v>0</v>
      </c>
      <c r="Z458" s="87">
        <v>0</v>
      </c>
      <c r="AA458" s="87">
        <v>0</v>
      </c>
      <c r="AB458" s="87">
        <v>0</v>
      </c>
      <c r="AC458" s="161">
        <v>0</v>
      </c>
      <c r="AD458" s="148">
        <f t="shared" si="306"/>
        <v>100</v>
      </c>
    </row>
    <row r="459" spans="1:30" ht="39" customHeight="1">
      <c r="A459" s="51">
        <v>156</v>
      </c>
      <c r="B459" s="37" t="s">
        <v>267</v>
      </c>
      <c r="C459" s="24" t="s">
        <v>268</v>
      </c>
      <c r="D459" s="47" t="s">
        <v>245</v>
      </c>
      <c r="E459" s="26">
        <f>F460</f>
        <v>361.09500000000003</v>
      </c>
      <c r="F459" s="27">
        <f>F460</f>
        <v>361.09500000000003</v>
      </c>
      <c r="G459" s="28">
        <f>G460</f>
        <v>0</v>
      </c>
      <c r="H459" s="28">
        <f>H460</f>
        <v>0</v>
      </c>
      <c r="I459" s="28">
        <f t="shared" si="339"/>
        <v>361.09500000000003</v>
      </c>
      <c r="J459" s="27">
        <f>J460</f>
        <v>0</v>
      </c>
      <c r="K459" s="27">
        <f t="shared" ref="K459:Q459" si="355">K460</f>
        <v>0</v>
      </c>
      <c r="L459" s="27">
        <f t="shared" si="355"/>
        <v>0</v>
      </c>
      <c r="M459" s="27">
        <f t="shared" si="355"/>
        <v>245.45500000000001</v>
      </c>
      <c r="N459" s="85">
        <f t="shared" si="355"/>
        <v>115.64000000000001</v>
      </c>
      <c r="O459" s="85">
        <f t="shared" si="355"/>
        <v>0</v>
      </c>
      <c r="P459" s="85">
        <f t="shared" si="355"/>
        <v>0</v>
      </c>
      <c r="Q459" s="85">
        <f t="shared" si="355"/>
        <v>0</v>
      </c>
      <c r="R459" s="118">
        <f t="shared" si="341"/>
        <v>0</v>
      </c>
      <c r="S459" s="85">
        <f>S460</f>
        <v>0</v>
      </c>
      <c r="T459" s="85">
        <f t="shared" ref="T459:AC459" si="356">T460</f>
        <v>0</v>
      </c>
      <c r="U459" s="85">
        <f t="shared" si="356"/>
        <v>0</v>
      </c>
      <c r="V459" s="85">
        <f t="shared" si="356"/>
        <v>0</v>
      </c>
      <c r="W459" s="85">
        <f t="shared" si="356"/>
        <v>0</v>
      </c>
      <c r="X459" s="85">
        <f t="shared" si="356"/>
        <v>0</v>
      </c>
      <c r="Y459" s="85">
        <f t="shared" si="356"/>
        <v>0</v>
      </c>
      <c r="Z459" s="85">
        <f t="shared" si="356"/>
        <v>0</v>
      </c>
      <c r="AA459" s="85">
        <f t="shared" si="356"/>
        <v>0</v>
      </c>
      <c r="AB459" s="85">
        <f t="shared" si="356"/>
        <v>0</v>
      </c>
      <c r="AC459" s="150">
        <f t="shared" si="356"/>
        <v>0</v>
      </c>
      <c r="AD459" s="146">
        <f t="shared" si="306"/>
        <v>0</v>
      </c>
    </row>
    <row r="460" spans="1:30">
      <c r="A460" s="40"/>
      <c r="B460" s="10" t="s">
        <v>31</v>
      </c>
      <c r="C460" s="30"/>
      <c r="D460" s="31"/>
      <c r="E460" s="32"/>
      <c r="F460" s="33">
        <f>H460+I460+AD460</f>
        <v>361.09500000000003</v>
      </c>
      <c r="G460" s="33">
        <v>0</v>
      </c>
      <c r="H460" s="33">
        <v>0</v>
      </c>
      <c r="I460" s="33">
        <f t="shared" si="339"/>
        <v>361.09500000000003</v>
      </c>
      <c r="J460" s="33">
        <v>0</v>
      </c>
      <c r="K460" s="33">
        <v>0</v>
      </c>
      <c r="L460" s="33">
        <v>0</v>
      </c>
      <c r="M460" s="33">
        <v>245.45500000000001</v>
      </c>
      <c r="N460" s="87">
        <v>115.64000000000001</v>
      </c>
      <c r="O460" s="87">
        <v>0</v>
      </c>
      <c r="P460" s="87">
        <v>0</v>
      </c>
      <c r="Q460" s="87">
        <v>0</v>
      </c>
      <c r="R460" s="119">
        <f t="shared" si="341"/>
        <v>0</v>
      </c>
      <c r="S460" s="87">
        <v>0</v>
      </c>
      <c r="T460" s="87">
        <v>0</v>
      </c>
      <c r="U460" s="87">
        <v>0</v>
      </c>
      <c r="V460" s="87">
        <v>0</v>
      </c>
      <c r="W460" s="87">
        <v>0</v>
      </c>
      <c r="X460" s="87">
        <v>0</v>
      </c>
      <c r="Y460" s="87">
        <v>0</v>
      </c>
      <c r="Z460" s="87">
        <v>0</v>
      </c>
      <c r="AA460" s="87">
        <v>0</v>
      </c>
      <c r="AB460" s="87">
        <v>0</v>
      </c>
      <c r="AC460" s="161">
        <v>0</v>
      </c>
      <c r="AD460" s="148">
        <f t="shared" si="306"/>
        <v>0</v>
      </c>
    </row>
    <row r="461" spans="1:30" ht="29.25">
      <c r="A461" s="51">
        <v>157</v>
      </c>
      <c r="B461" s="37" t="s">
        <v>269</v>
      </c>
      <c r="C461" s="66" t="s">
        <v>270</v>
      </c>
      <c r="D461" s="47" t="s">
        <v>70</v>
      </c>
      <c r="E461" s="26">
        <f>F462</f>
        <v>10423.14</v>
      </c>
      <c r="F461" s="27">
        <f>F462</f>
        <v>10423.14</v>
      </c>
      <c r="G461" s="28">
        <f>G462</f>
        <v>0</v>
      </c>
      <c r="H461" s="28">
        <f>H462</f>
        <v>300</v>
      </c>
      <c r="I461" s="28">
        <f t="shared" si="339"/>
        <v>10123.14</v>
      </c>
      <c r="J461" s="27">
        <f>J462</f>
        <v>300</v>
      </c>
      <c r="K461" s="27">
        <f t="shared" ref="K461:Q461" si="357">K462</f>
        <v>0</v>
      </c>
      <c r="L461" s="27">
        <f t="shared" si="357"/>
        <v>1753.14</v>
      </c>
      <c r="M461" s="27">
        <f t="shared" si="357"/>
        <v>1674</v>
      </c>
      <c r="N461" s="85">
        <f t="shared" si="357"/>
        <v>6696</v>
      </c>
      <c r="O461" s="85">
        <f t="shared" si="357"/>
        <v>0</v>
      </c>
      <c r="P461" s="88">
        <f t="shared" si="357"/>
        <v>0</v>
      </c>
      <c r="Q461" s="85">
        <f t="shared" si="357"/>
        <v>0</v>
      </c>
      <c r="R461" s="118">
        <f t="shared" si="341"/>
        <v>0</v>
      </c>
      <c r="S461" s="85">
        <f>S462</f>
        <v>0</v>
      </c>
      <c r="T461" s="85">
        <f t="shared" ref="T461:AC461" si="358">T462</f>
        <v>0</v>
      </c>
      <c r="U461" s="85">
        <f t="shared" si="358"/>
        <v>0</v>
      </c>
      <c r="V461" s="85">
        <f t="shared" si="358"/>
        <v>0</v>
      </c>
      <c r="W461" s="85">
        <f t="shared" si="358"/>
        <v>0</v>
      </c>
      <c r="X461" s="85">
        <f t="shared" si="358"/>
        <v>0</v>
      </c>
      <c r="Y461" s="85">
        <f t="shared" si="358"/>
        <v>0</v>
      </c>
      <c r="Z461" s="85">
        <f t="shared" si="358"/>
        <v>0</v>
      </c>
      <c r="AA461" s="85">
        <f t="shared" si="358"/>
        <v>0</v>
      </c>
      <c r="AB461" s="85">
        <f t="shared" si="358"/>
        <v>0</v>
      </c>
      <c r="AC461" s="150">
        <f t="shared" si="358"/>
        <v>0</v>
      </c>
      <c r="AD461" s="146">
        <f t="shared" si="306"/>
        <v>0</v>
      </c>
    </row>
    <row r="462" spans="1:30">
      <c r="A462" s="40"/>
      <c r="B462" s="10" t="s">
        <v>31</v>
      </c>
      <c r="C462" s="30"/>
      <c r="D462" s="31"/>
      <c r="E462" s="32"/>
      <c r="F462" s="33">
        <f>H462+I462+AD462</f>
        <v>10423.14</v>
      </c>
      <c r="G462" s="33">
        <v>0</v>
      </c>
      <c r="H462" s="33">
        <v>300</v>
      </c>
      <c r="I462" s="33">
        <f t="shared" si="339"/>
        <v>10123.14</v>
      </c>
      <c r="J462" s="33">
        <v>300</v>
      </c>
      <c r="K462" s="33">
        <v>0</v>
      </c>
      <c r="L462" s="33">
        <v>1753.14</v>
      </c>
      <c r="M462" s="33">
        <v>1674</v>
      </c>
      <c r="N462" s="87">
        <v>6696</v>
      </c>
      <c r="O462" s="87">
        <v>0</v>
      </c>
      <c r="P462" s="87">
        <v>0</v>
      </c>
      <c r="Q462" s="87">
        <v>0</v>
      </c>
      <c r="R462" s="119">
        <f t="shared" si="341"/>
        <v>0</v>
      </c>
      <c r="S462" s="87">
        <v>0</v>
      </c>
      <c r="T462" s="87">
        <v>0</v>
      </c>
      <c r="U462" s="87">
        <v>0</v>
      </c>
      <c r="V462" s="87">
        <v>0</v>
      </c>
      <c r="W462" s="87">
        <v>0</v>
      </c>
      <c r="X462" s="87">
        <v>0</v>
      </c>
      <c r="Y462" s="87">
        <v>0</v>
      </c>
      <c r="Z462" s="87">
        <v>0</v>
      </c>
      <c r="AA462" s="87">
        <v>0</v>
      </c>
      <c r="AB462" s="87">
        <v>0</v>
      </c>
      <c r="AC462" s="161">
        <v>0</v>
      </c>
      <c r="AD462" s="148">
        <f t="shared" si="306"/>
        <v>0</v>
      </c>
    </row>
    <row r="463" spans="1:30" ht="33.75">
      <c r="A463" s="51">
        <v>158</v>
      </c>
      <c r="B463" s="37" t="s">
        <v>271</v>
      </c>
      <c r="C463" s="24" t="s">
        <v>160</v>
      </c>
      <c r="D463" s="47" t="s">
        <v>272</v>
      </c>
      <c r="E463" s="26">
        <f>F464</f>
        <v>21045.46</v>
      </c>
      <c r="F463" s="27">
        <f>F464</f>
        <v>21045.46</v>
      </c>
      <c r="G463" s="28">
        <f>G464</f>
        <v>0</v>
      </c>
      <c r="H463" s="28">
        <f>H464</f>
        <v>9</v>
      </c>
      <c r="I463" s="28">
        <f t="shared" si="339"/>
        <v>3600.53</v>
      </c>
      <c r="J463" s="27">
        <f>J464</f>
        <v>0</v>
      </c>
      <c r="K463" s="27">
        <f t="shared" ref="K463:Q463" si="359">K464</f>
        <v>0</v>
      </c>
      <c r="L463" s="27">
        <f t="shared" si="359"/>
        <v>0</v>
      </c>
      <c r="M463" s="27">
        <f t="shared" si="359"/>
        <v>0</v>
      </c>
      <c r="N463" s="85">
        <f t="shared" si="359"/>
        <v>0</v>
      </c>
      <c r="O463" s="85">
        <f t="shared" si="359"/>
        <v>3600.53</v>
      </c>
      <c r="P463" s="85">
        <f t="shared" si="359"/>
        <v>205</v>
      </c>
      <c r="Q463" s="85">
        <f t="shared" si="359"/>
        <v>192</v>
      </c>
      <c r="R463" s="118">
        <f t="shared" si="341"/>
        <v>17038.93</v>
      </c>
      <c r="S463" s="85">
        <f>S464</f>
        <v>17038.93</v>
      </c>
      <c r="T463" s="85">
        <f t="shared" ref="T463:AC463" si="360">T464</f>
        <v>0</v>
      </c>
      <c r="U463" s="85">
        <f t="shared" si="360"/>
        <v>0</v>
      </c>
      <c r="V463" s="85">
        <f t="shared" si="360"/>
        <v>0</v>
      </c>
      <c r="W463" s="85">
        <f t="shared" si="360"/>
        <v>0</v>
      </c>
      <c r="X463" s="85">
        <f t="shared" si="360"/>
        <v>0</v>
      </c>
      <c r="Y463" s="85">
        <f t="shared" si="360"/>
        <v>0</v>
      </c>
      <c r="Z463" s="85">
        <f t="shared" si="360"/>
        <v>0</v>
      </c>
      <c r="AA463" s="85">
        <f t="shared" si="360"/>
        <v>0</v>
      </c>
      <c r="AB463" s="85">
        <f t="shared" si="360"/>
        <v>0</v>
      </c>
      <c r="AC463" s="150">
        <f t="shared" si="360"/>
        <v>0</v>
      </c>
      <c r="AD463" s="146">
        <f t="shared" si="306"/>
        <v>17435.93</v>
      </c>
    </row>
    <row r="464" spans="1:30">
      <c r="A464" s="40"/>
      <c r="B464" s="10" t="s">
        <v>31</v>
      </c>
      <c r="C464" s="30"/>
      <c r="D464" s="31"/>
      <c r="E464" s="32"/>
      <c r="F464" s="33">
        <f>H464+I464+AD464</f>
        <v>21045.46</v>
      </c>
      <c r="G464" s="33">
        <v>0</v>
      </c>
      <c r="H464" s="33">
        <v>9</v>
      </c>
      <c r="I464" s="33">
        <f t="shared" si="339"/>
        <v>3600.53</v>
      </c>
      <c r="J464" s="33">
        <v>0</v>
      </c>
      <c r="K464" s="33">
        <v>0</v>
      </c>
      <c r="L464" s="33">
        <v>0</v>
      </c>
      <c r="M464" s="33">
        <v>0</v>
      </c>
      <c r="N464" s="87">
        <v>0</v>
      </c>
      <c r="O464" s="89">
        <v>3600.53</v>
      </c>
      <c r="P464" s="86">
        <v>205</v>
      </c>
      <c r="Q464" s="87">
        <v>192</v>
      </c>
      <c r="R464" s="119">
        <f t="shared" si="341"/>
        <v>17038.93</v>
      </c>
      <c r="S464" s="86">
        <v>17038.93</v>
      </c>
      <c r="T464" s="87">
        <v>0</v>
      </c>
      <c r="U464" s="87">
        <v>0</v>
      </c>
      <c r="V464" s="87">
        <v>0</v>
      </c>
      <c r="W464" s="87">
        <v>0</v>
      </c>
      <c r="X464" s="87">
        <v>0</v>
      </c>
      <c r="Y464" s="87">
        <v>0</v>
      </c>
      <c r="Z464" s="87">
        <v>0</v>
      </c>
      <c r="AA464" s="87">
        <v>0</v>
      </c>
      <c r="AB464" s="87">
        <v>0</v>
      </c>
      <c r="AC464" s="161">
        <v>0</v>
      </c>
      <c r="AD464" s="148">
        <f t="shared" si="306"/>
        <v>17435.93</v>
      </c>
    </row>
    <row r="465" spans="1:30" ht="22.5">
      <c r="A465" s="51">
        <v>159</v>
      </c>
      <c r="B465" s="37" t="s">
        <v>273</v>
      </c>
      <c r="C465" s="24" t="s">
        <v>274</v>
      </c>
      <c r="D465" s="47" t="s">
        <v>136</v>
      </c>
      <c r="E465" s="26">
        <f>F466</f>
        <v>77.05</v>
      </c>
      <c r="F465" s="27">
        <f>F466</f>
        <v>77.05</v>
      </c>
      <c r="G465" s="28">
        <f>G466</f>
        <v>0</v>
      </c>
      <c r="H465" s="28">
        <f>H466</f>
        <v>0</v>
      </c>
      <c r="I465" s="28">
        <f t="shared" si="339"/>
        <v>77.05</v>
      </c>
      <c r="J465" s="27">
        <f>J466</f>
        <v>0</v>
      </c>
      <c r="K465" s="27">
        <f t="shared" ref="K465:Q465" si="361">K466</f>
        <v>0</v>
      </c>
      <c r="L465" s="27">
        <f t="shared" si="361"/>
        <v>77.05</v>
      </c>
      <c r="M465" s="27">
        <f t="shared" si="361"/>
        <v>0</v>
      </c>
      <c r="N465" s="85">
        <f t="shared" si="361"/>
        <v>0</v>
      </c>
      <c r="O465" s="85">
        <f t="shared" si="361"/>
        <v>0</v>
      </c>
      <c r="P465" s="85">
        <f t="shared" si="361"/>
        <v>0</v>
      </c>
      <c r="Q465" s="85">
        <f t="shared" si="361"/>
        <v>0</v>
      </c>
      <c r="R465" s="118">
        <f t="shared" si="341"/>
        <v>0</v>
      </c>
      <c r="S465" s="85">
        <f>S466</f>
        <v>0</v>
      </c>
      <c r="T465" s="85">
        <f t="shared" ref="T465:AC465" si="362">T466</f>
        <v>0</v>
      </c>
      <c r="U465" s="85">
        <f t="shared" si="362"/>
        <v>0</v>
      </c>
      <c r="V465" s="85">
        <f t="shared" si="362"/>
        <v>0</v>
      </c>
      <c r="W465" s="85">
        <f t="shared" si="362"/>
        <v>0</v>
      </c>
      <c r="X465" s="85">
        <f t="shared" si="362"/>
        <v>0</v>
      </c>
      <c r="Y465" s="85">
        <f t="shared" si="362"/>
        <v>0</v>
      </c>
      <c r="Z465" s="85">
        <f t="shared" si="362"/>
        <v>0</v>
      </c>
      <c r="AA465" s="85">
        <f t="shared" si="362"/>
        <v>0</v>
      </c>
      <c r="AB465" s="85">
        <f t="shared" si="362"/>
        <v>0</v>
      </c>
      <c r="AC465" s="150">
        <f t="shared" si="362"/>
        <v>0</v>
      </c>
      <c r="AD465" s="146">
        <f t="shared" si="306"/>
        <v>0</v>
      </c>
    </row>
    <row r="466" spans="1:30">
      <c r="A466" s="40"/>
      <c r="B466" s="10" t="s">
        <v>31</v>
      </c>
      <c r="C466" s="30"/>
      <c r="D466" s="31"/>
      <c r="E466" s="32"/>
      <c r="F466" s="33">
        <f>H466+I466+AD466</f>
        <v>77.05</v>
      </c>
      <c r="G466" s="33">
        <v>0</v>
      </c>
      <c r="H466" s="33">
        <v>0</v>
      </c>
      <c r="I466" s="33">
        <f t="shared" si="339"/>
        <v>77.05</v>
      </c>
      <c r="J466" s="33">
        <v>0</v>
      </c>
      <c r="K466" s="33">
        <v>0</v>
      </c>
      <c r="L466" s="33">
        <v>77.05</v>
      </c>
      <c r="M466" s="35">
        <v>0</v>
      </c>
      <c r="N466" s="87">
        <v>0</v>
      </c>
      <c r="O466" s="87">
        <v>0</v>
      </c>
      <c r="P466" s="87">
        <v>0</v>
      </c>
      <c r="Q466" s="87">
        <v>0</v>
      </c>
      <c r="R466" s="119">
        <f t="shared" si="341"/>
        <v>0</v>
      </c>
      <c r="S466" s="87">
        <v>0</v>
      </c>
      <c r="T466" s="87">
        <v>0</v>
      </c>
      <c r="U466" s="87">
        <v>0</v>
      </c>
      <c r="V466" s="87">
        <v>0</v>
      </c>
      <c r="W466" s="87">
        <v>0</v>
      </c>
      <c r="X466" s="87">
        <v>0</v>
      </c>
      <c r="Y466" s="87">
        <v>0</v>
      </c>
      <c r="Z466" s="87">
        <v>0</v>
      </c>
      <c r="AA466" s="87">
        <v>0</v>
      </c>
      <c r="AB466" s="87">
        <v>0</v>
      </c>
      <c r="AC466" s="161">
        <v>0</v>
      </c>
      <c r="AD466" s="148">
        <f t="shared" si="306"/>
        <v>0</v>
      </c>
    </row>
    <row r="467" spans="1:30" ht="22.5">
      <c r="A467" s="51">
        <v>160</v>
      </c>
      <c r="B467" s="37" t="s">
        <v>310</v>
      </c>
      <c r="C467" s="24" t="s">
        <v>275</v>
      </c>
      <c r="D467" s="47" t="s">
        <v>60</v>
      </c>
      <c r="E467" s="26">
        <f>F468</f>
        <v>9880.6</v>
      </c>
      <c r="F467" s="27">
        <f>F468+F469</f>
        <v>9880.6</v>
      </c>
      <c r="G467" s="27">
        <f>G468+G469</f>
        <v>0</v>
      </c>
      <c r="H467" s="27">
        <f>H468+H469</f>
        <v>0</v>
      </c>
      <c r="I467" s="28">
        <f t="shared" si="339"/>
        <v>9880.6</v>
      </c>
      <c r="J467" s="27">
        <f>J468+J469</f>
        <v>0</v>
      </c>
      <c r="K467" s="27">
        <f t="shared" ref="K467:Q467" si="363">K468+K469</f>
        <v>0</v>
      </c>
      <c r="L467" s="27">
        <f t="shared" si="363"/>
        <v>24.6</v>
      </c>
      <c r="M467" s="27">
        <f t="shared" si="363"/>
        <v>0</v>
      </c>
      <c r="N467" s="85">
        <f t="shared" si="363"/>
        <v>7706</v>
      </c>
      <c r="O467" s="85">
        <f t="shared" si="363"/>
        <v>2150</v>
      </c>
      <c r="P467" s="85">
        <f t="shared" si="363"/>
        <v>0</v>
      </c>
      <c r="Q467" s="85">
        <f t="shared" si="363"/>
        <v>0</v>
      </c>
      <c r="R467" s="118">
        <f t="shared" si="341"/>
        <v>0</v>
      </c>
      <c r="S467" s="85">
        <f>S468+S469</f>
        <v>0</v>
      </c>
      <c r="T467" s="85">
        <f t="shared" ref="T467:AC467" si="364">T468+T469</f>
        <v>0</v>
      </c>
      <c r="U467" s="85">
        <f t="shared" si="364"/>
        <v>0</v>
      </c>
      <c r="V467" s="85">
        <f t="shared" si="364"/>
        <v>0</v>
      </c>
      <c r="W467" s="85">
        <f t="shared" si="364"/>
        <v>0</v>
      </c>
      <c r="X467" s="85">
        <f t="shared" si="364"/>
        <v>0</v>
      </c>
      <c r="Y467" s="85">
        <f t="shared" si="364"/>
        <v>0</v>
      </c>
      <c r="Z467" s="85">
        <f t="shared" si="364"/>
        <v>0</v>
      </c>
      <c r="AA467" s="85">
        <f t="shared" si="364"/>
        <v>0</v>
      </c>
      <c r="AB467" s="85">
        <f t="shared" si="364"/>
        <v>0</v>
      </c>
      <c r="AC467" s="150">
        <f t="shared" si="364"/>
        <v>0</v>
      </c>
      <c r="AD467" s="146">
        <f t="shared" si="306"/>
        <v>0</v>
      </c>
    </row>
    <row r="468" spans="1:30">
      <c r="A468" s="71"/>
      <c r="B468" s="10" t="s">
        <v>31</v>
      </c>
      <c r="C468" s="30"/>
      <c r="D468" s="72"/>
      <c r="E468" s="73"/>
      <c r="F468" s="33">
        <f>H468+I468+AD468</f>
        <v>9880.6</v>
      </c>
      <c r="G468" s="33">
        <v>0</v>
      </c>
      <c r="H468" s="33">
        <v>0</v>
      </c>
      <c r="I468" s="33">
        <f t="shared" si="339"/>
        <v>9880.6</v>
      </c>
      <c r="J468" s="45">
        <v>0</v>
      </c>
      <c r="K468" s="45">
        <v>0</v>
      </c>
      <c r="L468" s="33">
        <v>24.6</v>
      </c>
      <c r="M468" s="33">
        <v>0</v>
      </c>
      <c r="N468" s="87">
        <v>7706</v>
      </c>
      <c r="O468" s="87">
        <v>2150</v>
      </c>
      <c r="P468" s="87">
        <v>0</v>
      </c>
      <c r="Q468" s="87">
        <v>0</v>
      </c>
      <c r="R468" s="119">
        <f t="shared" si="341"/>
        <v>0</v>
      </c>
      <c r="S468" s="87">
        <v>0</v>
      </c>
      <c r="T468" s="87">
        <v>0</v>
      </c>
      <c r="U468" s="87">
        <v>0</v>
      </c>
      <c r="V468" s="87">
        <v>0</v>
      </c>
      <c r="W468" s="87">
        <v>0</v>
      </c>
      <c r="X468" s="87">
        <v>0</v>
      </c>
      <c r="Y468" s="87">
        <v>0</v>
      </c>
      <c r="Z468" s="87">
        <v>0</v>
      </c>
      <c r="AA468" s="87">
        <v>0</v>
      </c>
      <c r="AB468" s="87">
        <v>0</v>
      </c>
      <c r="AC468" s="161">
        <v>0</v>
      </c>
      <c r="AD468" s="148">
        <f t="shared" si="306"/>
        <v>0</v>
      </c>
    </row>
    <row r="469" spans="1:30">
      <c r="A469" s="40"/>
      <c r="B469" s="10" t="s">
        <v>41</v>
      </c>
      <c r="C469" s="30"/>
      <c r="D469" s="31"/>
      <c r="E469" s="32"/>
      <c r="F469" s="33">
        <f>H469+I469+AD469</f>
        <v>0</v>
      </c>
      <c r="G469" s="33">
        <v>0</v>
      </c>
      <c r="H469" s="33">
        <v>0</v>
      </c>
      <c r="I469" s="33">
        <f t="shared" si="339"/>
        <v>0</v>
      </c>
      <c r="J469" s="33">
        <v>0</v>
      </c>
      <c r="K469" s="33">
        <v>0</v>
      </c>
      <c r="L469" s="33">
        <v>0</v>
      </c>
      <c r="M469" s="33">
        <v>0</v>
      </c>
      <c r="N469" s="87">
        <v>0</v>
      </c>
      <c r="O469" s="87">
        <v>0</v>
      </c>
      <c r="P469" s="87">
        <v>0</v>
      </c>
      <c r="Q469" s="87">
        <v>0</v>
      </c>
      <c r="R469" s="119">
        <f t="shared" si="341"/>
        <v>0</v>
      </c>
      <c r="S469" s="87">
        <v>0</v>
      </c>
      <c r="T469" s="87">
        <v>0</v>
      </c>
      <c r="U469" s="87">
        <v>0</v>
      </c>
      <c r="V469" s="87">
        <v>0</v>
      </c>
      <c r="W469" s="87">
        <v>0</v>
      </c>
      <c r="X469" s="87">
        <v>0</v>
      </c>
      <c r="Y469" s="87">
        <v>0</v>
      </c>
      <c r="Z469" s="87">
        <v>0</v>
      </c>
      <c r="AA469" s="87">
        <v>0</v>
      </c>
      <c r="AB469" s="87">
        <v>0</v>
      </c>
      <c r="AC469" s="161">
        <v>0</v>
      </c>
      <c r="AD469" s="148">
        <f t="shared" si="306"/>
        <v>0</v>
      </c>
    </row>
    <row r="470" spans="1:30" ht="22.5">
      <c r="A470" s="51">
        <v>161</v>
      </c>
      <c r="B470" s="37" t="s">
        <v>276</v>
      </c>
      <c r="C470" s="24" t="s">
        <v>94</v>
      </c>
      <c r="D470" s="47" t="s">
        <v>101</v>
      </c>
      <c r="E470" s="26">
        <f>F471</f>
        <v>208.73500000000001</v>
      </c>
      <c r="F470" s="27">
        <f>F471+F472</f>
        <v>208.73500000000001</v>
      </c>
      <c r="G470" s="27">
        <f>G471+G472</f>
        <v>0</v>
      </c>
      <c r="H470" s="27">
        <f>H471+H472</f>
        <v>0</v>
      </c>
      <c r="I470" s="28">
        <f t="shared" si="339"/>
        <v>208.73500000000001</v>
      </c>
      <c r="J470" s="27">
        <f>J471+J472</f>
        <v>0</v>
      </c>
      <c r="K470" s="27">
        <f t="shared" ref="K470:Q470" si="365">K471+K472</f>
        <v>0</v>
      </c>
      <c r="L470" s="27">
        <f t="shared" si="365"/>
        <v>0</v>
      </c>
      <c r="M470" s="27">
        <f t="shared" si="365"/>
        <v>202.46200000000002</v>
      </c>
      <c r="N470" s="85">
        <f t="shared" si="365"/>
        <v>6.2729999999999997</v>
      </c>
      <c r="O470" s="85">
        <f t="shared" si="365"/>
        <v>0</v>
      </c>
      <c r="P470" s="85">
        <f t="shared" si="365"/>
        <v>0</v>
      </c>
      <c r="Q470" s="85">
        <f t="shared" si="365"/>
        <v>0</v>
      </c>
      <c r="R470" s="118">
        <f t="shared" si="341"/>
        <v>0</v>
      </c>
      <c r="S470" s="85">
        <f>S471+S472</f>
        <v>0</v>
      </c>
      <c r="T470" s="85">
        <f t="shared" ref="T470:AC470" si="366">T471+T472</f>
        <v>0</v>
      </c>
      <c r="U470" s="85">
        <f t="shared" si="366"/>
        <v>0</v>
      </c>
      <c r="V470" s="85">
        <f t="shared" si="366"/>
        <v>0</v>
      </c>
      <c r="W470" s="85">
        <f t="shared" si="366"/>
        <v>0</v>
      </c>
      <c r="X470" s="85">
        <f t="shared" si="366"/>
        <v>0</v>
      </c>
      <c r="Y470" s="85">
        <f t="shared" si="366"/>
        <v>0</v>
      </c>
      <c r="Z470" s="85">
        <f t="shared" si="366"/>
        <v>0</v>
      </c>
      <c r="AA470" s="85">
        <f t="shared" si="366"/>
        <v>0</v>
      </c>
      <c r="AB470" s="85">
        <f t="shared" si="366"/>
        <v>0</v>
      </c>
      <c r="AC470" s="150">
        <f t="shared" si="366"/>
        <v>0</v>
      </c>
      <c r="AD470" s="146">
        <f t="shared" ref="AD470:AD507" si="367">P470+Q470+R470</f>
        <v>0</v>
      </c>
    </row>
    <row r="471" spans="1:30">
      <c r="A471" s="71"/>
      <c r="B471" s="10" t="s">
        <v>31</v>
      </c>
      <c r="C471" s="30"/>
      <c r="D471" s="72"/>
      <c r="E471" s="73"/>
      <c r="F471" s="33">
        <f>H471+I471+AD471</f>
        <v>208.73500000000001</v>
      </c>
      <c r="G471" s="33">
        <v>0</v>
      </c>
      <c r="H471" s="33">
        <v>0</v>
      </c>
      <c r="I471" s="33">
        <f t="shared" si="339"/>
        <v>208.73500000000001</v>
      </c>
      <c r="J471" s="45">
        <v>0</v>
      </c>
      <c r="K471" s="45">
        <v>0</v>
      </c>
      <c r="L471" s="33">
        <v>0</v>
      </c>
      <c r="M471" s="33">
        <f>208.735-6.273</f>
        <v>202.46200000000002</v>
      </c>
      <c r="N471" s="87">
        <f>2+4.273</f>
        <v>6.2729999999999997</v>
      </c>
      <c r="O471" s="87">
        <v>0</v>
      </c>
      <c r="P471" s="87">
        <v>0</v>
      </c>
      <c r="Q471" s="87">
        <v>0</v>
      </c>
      <c r="R471" s="119">
        <f t="shared" si="341"/>
        <v>0</v>
      </c>
      <c r="S471" s="87">
        <v>0</v>
      </c>
      <c r="T471" s="87">
        <v>0</v>
      </c>
      <c r="U471" s="87">
        <v>0</v>
      </c>
      <c r="V471" s="87">
        <v>0</v>
      </c>
      <c r="W471" s="87">
        <v>0</v>
      </c>
      <c r="X471" s="87">
        <v>0</v>
      </c>
      <c r="Y471" s="87">
        <v>0</v>
      </c>
      <c r="Z471" s="87">
        <v>0</v>
      </c>
      <c r="AA471" s="87">
        <v>0</v>
      </c>
      <c r="AB471" s="87">
        <v>0</v>
      </c>
      <c r="AC471" s="161">
        <v>0</v>
      </c>
      <c r="AD471" s="148">
        <f t="shared" si="367"/>
        <v>0</v>
      </c>
    </row>
    <row r="472" spans="1:30">
      <c r="A472" s="40"/>
      <c r="B472" s="10" t="s">
        <v>41</v>
      </c>
      <c r="C472" s="30"/>
      <c r="D472" s="31"/>
      <c r="E472" s="32"/>
      <c r="F472" s="33">
        <f>H472+I472+AD472</f>
        <v>0</v>
      </c>
      <c r="G472" s="33">
        <v>0</v>
      </c>
      <c r="H472" s="33">
        <v>0</v>
      </c>
      <c r="I472" s="33">
        <f t="shared" si="339"/>
        <v>0</v>
      </c>
      <c r="J472" s="33">
        <v>0</v>
      </c>
      <c r="K472" s="33">
        <v>0</v>
      </c>
      <c r="L472" s="33">
        <v>0</v>
      </c>
      <c r="M472" s="33">
        <v>0</v>
      </c>
      <c r="N472" s="87">
        <f>4.4-4.4</f>
        <v>0</v>
      </c>
      <c r="O472" s="87">
        <v>0</v>
      </c>
      <c r="P472" s="87">
        <v>0</v>
      </c>
      <c r="Q472" s="87">
        <v>0</v>
      </c>
      <c r="R472" s="119">
        <f t="shared" si="341"/>
        <v>0</v>
      </c>
      <c r="S472" s="87">
        <v>0</v>
      </c>
      <c r="T472" s="87">
        <v>0</v>
      </c>
      <c r="U472" s="87">
        <v>0</v>
      </c>
      <c r="V472" s="87">
        <v>0</v>
      </c>
      <c r="W472" s="87">
        <v>0</v>
      </c>
      <c r="X472" s="87">
        <v>0</v>
      </c>
      <c r="Y472" s="87">
        <v>0</v>
      </c>
      <c r="Z472" s="87">
        <v>0</v>
      </c>
      <c r="AA472" s="87">
        <v>0</v>
      </c>
      <c r="AB472" s="87">
        <v>0</v>
      </c>
      <c r="AC472" s="161">
        <v>0</v>
      </c>
      <c r="AD472" s="148">
        <f t="shared" si="367"/>
        <v>0</v>
      </c>
    </row>
    <row r="473" spans="1:30" ht="30.75" customHeight="1">
      <c r="A473" s="51">
        <v>162</v>
      </c>
      <c r="B473" s="37" t="s">
        <v>277</v>
      </c>
      <c r="C473" s="24" t="s">
        <v>398</v>
      </c>
      <c r="D473" s="47" t="s">
        <v>321</v>
      </c>
      <c r="E473" s="26">
        <f>F474</f>
        <v>3710.7590000000005</v>
      </c>
      <c r="F473" s="27">
        <f>F474+F475</f>
        <v>10089.831</v>
      </c>
      <c r="G473" s="27">
        <f>G474+G475</f>
        <v>0</v>
      </c>
      <c r="H473" s="27">
        <f>H474+H475</f>
        <v>0</v>
      </c>
      <c r="I473" s="28">
        <f t="shared" ref="I473:I481" si="368">SUM(K473:O473)</f>
        <v>8959.3850000000002</v>
      </c>
      <c r="J473" s="27">
        <f t="shared" ref="J473:Q473" si="369">J474+J475</f>
        <v>0</v>
      </c>
      <c r="K473" s="27">
        <f t="shared" si="369"/>
        <v>0</v>
      </c>
      <c r="L473" s="27">
        <f t="shared" si="369"/>
        <v>0</v>
      </c>
      <c r="M473" s="27">
        <f t="shared" si="369"/>
        <v>354.58100000000002</v>
      </c>
      <c r="N473" s="85">
        <f t="shared" si="369"/>
        <v>2732.2640000000001</v>
      </c>
      <c r="O473" s="85">
        <f t="shared" si="369"/>
        <v>5872.54</v>
      </c>
      <c r="P473" s="85">
        <f t="shared" si="369"/>
        <v>1130.4459999999999</v>
      </c>
      <c r="Q473" s="85">
        <f t="shared" si="369"/>
        <v>0</v>
      </c>
      <c r="R473" s="118">
        <f t="shared" ref="R473:R481" si="370">SUM(S473:AC473)</f>
        <v>0</v>
      </c>
      <c r="S473" s="85">
        <f>S474+S475</f>
        <v>0</v>
      </c>
      <c r="T473" s="85">
        <f t="shared" ref="T473:AC473" si="371">T474+T475</f>
        <v>0</v>
      </c>
      <c r="U473" s="85">
        <f t="shared" si="371"/>
        <v>0</v>
      </c>
      <c r="V473" s="85">
        <f t="shared" si="371"/>
        <v>0</v>
      </c>
      <c r="W473" s="85">
        <f t="shared" si="371"/>
        <v>0</v>
      </c>
      <c r="X473" s="85">
        <f t="shared" si="371"/>
        <v>0</v>
      </c>
      <c r="Y473" s="85">
        <f t="shared" si="371"/>
        <v>0</v>
      </c>
      <c r="Z473" s="85">
        <f t="shared" si="371"/>
        <v>0</v>
      </c>
      <c r="AA473" s="85">
        <f t="shared" si="371"/>
        <v>0</v>
      </c>
      <c r="AB473" s="85">
        <f t="shared" si="371"/>
        <v>0</v>
      </c>
      <c r="AC473" s="150">
        <f t="shared" si="371"/>
        <v>0</v>
      </c>
      <c r="AD473" s="146">
        <f t="shared" si="367"/>
        <v>1130.4459999999999</v>
      </c>
    </row>
    <row r="474" spans="1:30">
      <c r="A474" s="71"/>
      <c r="B474" s="10" t="s">
        <v>31</v>
      </c>
      <c r="C474" s="30"/>
      <c r="D474" s="72"/>
      <c r="E474" s="73"/>
      <c r="F474" s="33">
        <f t="shared" ref="F474:F479" si="372">H474+I474+AD474</f>
        <v>3710.7590000000005</v>
      </c>
      <c r="G474" s="33">
        <v>0</v>
      </c>
      <c r="H474" s="33">
        <v>0</v>
      </c>
      <c r="I474" s="33">
        <f t="shared" si="368"/>
        <v>2926.1490000000003</v>
      </c>
      <c r="J474" s="45">
        <v>0</v>
      </c>
      <c r="K474" s="45">
        <v>0</v>
      </c>
      <c r="L474" s="33">
        <v>0</v>
      </c>
      <c r="M474" s="35">
        <f>101.272+15.082</f>
        <v>116.35400000000001</v>
      </c>
      <c r="N474" s="87">
        <v>845.26900000000001</v>
      </c>
      <c r="O474" s="89">
        <v>1964.5260000000001</v>
      </c>
      <c r="P474" s="87">
        <f>638.043+146.567</f>
        <v>784.61</v>
      </c>
      <c r="Q474" s="87">
        <v>0</v>
      </c>
      <c r="R474" s="119">
        <f t="shared" si="370"/>
        <v>0</v>
      </c>
      <c r="S474" s="87">
        <v>0</v>
      </c>
      <c r="T474" s="87">
        <v>0</v>
      </c>
      <c r="U474" s="87">
        <v>0</v>
      </c>
      <c r="V474" s="87">
        <v>0</v>
      </c>
      <c r="W474" s="87">
        <v>0</v>
      </c>
      <c r="X474" s="87">
        <v>0</v>
      </c>
      <c r="Y474" s="87">
        <v>0</v>
      </c>
      <c r="Z474" s="87">
        <v>0</v>
      </c>
      <c r="AA474" s="87">
        <v>0</v>
      </c>
      <c r="AB474" s="87">
        <v>0</v>
      </c>
      <c r="AC474" s="161">
        <v>0</v>
      </c>
      <c r="AD474" s="148">
        <f t="shared" si="367"/>
        <v>784.61</v>
      </c>
    </row>
    <row r="475" spans="1:30">
      <c r="A475" s="40"/>
      <c r="B475" s="10" t="s">
        <v>41</v>
      </c>
      <c r="C475" s="30"/>
      <c r="D475" s="31"/>
      <c r="E475" s="32"/>
      <c r="F475" s="33">
        <f t="shared" si="372"/>
        <v>6379.0720000000001</v>
      </c>
      <c r="G475" s="33">
        <v>0</v>
      </c>
      <c r="H475" s="33">
        <v>0</v>
      </c>
      <c r="I475" s="33">
        <f t="shared" si="368"/>
        <v>6033.2359999999999</v>
      </c>
      <c r="J475" s="33">
        <v>0</v>
      </c>
      <c r="K475" s="33">
        <v>0</v>
      </c>
      <c r="L475" s="33">
        <v>0</v>
      </c>
      <c r="M475" s="33">
        <v>238.227</v>
      </c>
      <c r="N475" s="87">
        <v>1886.9949999999999</v>
      </c>
      <c r="O475" s="89">
        <v>3908.0140000000001</v>
      </c>
      <c r="P475" s="87">
        <v>345.83600000000001</v>
      </c>
      <c r="Q475" s="87">
        <v>0</v>
      </c>
      <c r="R475" s="119">
        <f t="shared" si="370"/>
        <v>0</v>
      </c>
      <c r="S475" s="87">
        <v>0</v>
      </c>
      <c r="T475" s="87">
        <v>0</v>
      </c>
      <c r="U475" s="87">
        <v>0</v>
      </c>
      <c r="V475" s="87">
        <v>0</v>
      </c>
      <c r="W475" s="87">
        <v>0</v>
      </c>
      <c r="X475" s="87">
        <v>0</v>
      </c>
      <c r="Y475" s="87">
        <v>0</v>
      </c>
      <c r="Z475" s="87">
        <v>0</v>
      </c>
      <c r="AA475" s="87">
        <v>0</v>
      </c>
      <c r="AB475" s="87">
        <v>0</v>
      </c>
      <c r="AC475" s="161">
        <v>0</v>
      </c>
      <c r="AD475" s="148">
        <f t="shared" si="367"/>
        <v>345.83600000000001</v>
      </c>
    </row>
    <row r="476" spans="1:30" ht="24" customHeight="1">
      <c r="A476" s="20">
        <v>163</v>
      </c>
      <c r="B476" s="37" t="s">
        <v>371</v>
      </c>
      <c r="C476" s="24" t="s">
        <v>153</v>
      </c>
      <c r="D476" s="53" t="s">
        <v>442</v>
      </c>
      <c r="E476" s="26">
        <f>F477</f>
        <v>8087.6980000000003</v>
      </c>
      <c r="F476" s="27">
        <f t="shared" si="372"/>
        <v>8087.6980000000003</v>
      </c>
      <c r="G476" s="28">
        <f>G477</f>
        <v>0</v>
      </c>
      <c r="H476" s="28">
        <f>H477</f>
        <v>0</v>
      </c>
      <c r="I476" s="28">
        <f>SUM(K476:O476)</f>
        <v>217.69800000000001</v>
      </c>
      <c r="J476" s="27">
        <f>J477</f>
        <v>0</v>
      </c>
      <c r="K476" s="27">
        <f t="shared" ref="K476:Q476" si="373">K477</f>
        <v>0</v>
      </c>
      <c r="L476" s="27">
        <f t="shared" si="373"/>
        <v>0</v>
      </c>
      <c r="M476" s="27">
        <f t="shared" si="373"/>
        <v>0</v>
      </c>
      <c r="N476" s="85">
        <f t="shared" si="373"/>
        <v>0</v>
      </c>
      <c r="O476" s="85">
        <f t="shared" si="373"/>
        <v>217.69800000000001</v>
      </c>
      <c r="P476" s="85">
        <f t="shared" si="373"/>
        <v>0</v>
      </c>
      <c r="Q476" s="85">
        <f t="shared" si="373"/>
        <v>0</v>
      </c>
      <c r="R476" s="118">
        <f t="shared" si="370"/>
        <v>7870</v>
      </c>
      <c r="S476" s="85">
        <f>S477</f>
        <v>0</v>
      </c>
      <c r="T476" s="85">
        <f t="shared" ref="T476:AC476" si="374">T477</f>
        <v>0</v>
      </c>
      <c r="U476" s="85">
        <f t="shared" si="374"/>
        <v>7870</v>
      </c>
      <c r="V476" s="85">
        <f t="shared" si="374"/>
        <v>0</v>
      </c>
      <c r="W476" s="85">
        <f t="shared" si="374"/>
        <v>0</v>
      </c>
      <c r="X476" s="85">
        <f t="shared" si="374"/>
        <v>0</v>
      </c>
      <c r="Y476" s="85">
        <f t="shared" si="374"/>
        <v>0</v>
      </c>
      <c r="Z476" s="85">
        <f t="shared" si="374"/>
        <v>0</v>
      </c>
      <c r="AA476" s="85">
        <f t="shared" si="374"/>
        <v>0</v>
      </c>
      <c r="AB476" s="85">
        <f t="shared" si="374"/>
        <v>0</v>
      </c>
      <c r="AC476" s="150">
        <f t="shared" si="374"/>
        <v>0</v>
      </c>
      <c r="AD476" s="146">
        <f t="shared" si="367"/>
        <v>7870</v>
      </c>
    </row>
    <row r="477" spans="1:30">
      <c r="A477" s="40"/>
      <c r="B477" s="10" t="s">
        <v>31</v>
      </c>
      <c r="C477" s="30"/>
      <c r="D477" s="31"/>
      <c r="E477" s="32"/>
      <c r="F477" s="33">
        <f t="shared" si="372"/>
        <v>8087.6980000000003</v>
      </c>
      <c r="G477" s="34">
        <v>0</v>
      </c>
      <c r="H477" s="33">
        <v>0</v>
      </c>
      <c r="I477" s="33">
        <f>SUM(K477:O477)</f>
        <v>217.69800000000001</v>
      </c>
      <c r="J477" s="33">
        <v>0</v>
      </c>
      <c r="K477" s="33">
        <v>0</v>
      </c>
      <c r="L477" s="33">
        <v>0</v>
      </c>
      <c r="M477" s="33"/>
      <c r="N477" s="86">
        <v>0</v>
      </c>
      <c r="O477" s="89">
        <v>217.69800000000001</v>
      </c>
      <c r="P477" s="87">
        <v>0</v>
      </c>
      <c r="Q477" s="87">
        <v>0</v>
      </c>
      <c r="R477" s="119">
        <f t="shared" si="370"/>
        <v>7870</v>
      </c>
      <c r="S477" s="87"/>
      <c r="T477" s="87"/>
      <c r="U477" s="128">
        <v>7870</v>
      </c>
      <c r="V477" s="87"/>
      <c r="W477" s="87"/>
      <c r="X477" s="87"/>
      <c r="Y477" s="87"/>
      <c r="Z477" s="87"/>
      <c r="AA477" s="87"/>
      <c r="AB477" s="87"/>
      <c r="AC477" s="161"/>
      <c r="AD477" s="148">
        <f t="shared" si="367"/>
        <v>7870</v>
      </c>
    </row>
    <row r="478" spans="1:30" ht="35.25" customHeight="1">
      <c r="A478" s="51">
        <v>164</v>
      </c>
      <c r="B478" s="37" t="s">
        <v>327</v>
      </c>
      <c r="C478" s="24" t="s">
        <v>328</v>
      </c>
      <c r="D478" s="47">
        <v>2018</v>
      </c>
      <c r="E478" s="26">
        <f>F479</f>
        <v>1637</v>
      </c>
      <c r="F478" s="69">
        <f>F479</f>
        <v>1637</v>
      </c>
      <c r="G478" s="28">
        <f>G479</f>
        <v>0</v>
      </c>
      <c r="H478" s="28">
        <f>H479</f>
        <v>0</v>
      </c>
      <c r="I478" s="28">
        <f t="shared" si="368"/>
        <v>1637</v>
      </c>
      <c r="J478" s="27">
        <f>J479</f>
        <v>0</v>
      </c>
      <c r="K478" s="27">
        <f t="shared" ref="K478:Q478" si="375">K479</f>
        <v>0</v>
      </c>
      <c r="L478" s="27">
        <f t="shared" si="375"/>
        <v>0</v>
      </c>
      <c r="M478" s="27">
        <f t="shared" si="375"/>
        <v>0</v>
      </c>
      <c r="N478" s="85">
        <f t="shared" si="375"/>
        <v>1637</v>
      </c>
      <c r="O478" s="85">
        <f t="shared" si="375"/>
        <v>0</v>
      </c>
      <c r="P478" s="85">
        <f t="shared" si="375"/>
        <v>0</v>
      </c>
      <c r="Q478" s="85">
        <f t="shared" si="375"/>
        <v>0</v>
      </c>
      <c r="R478" s="118">
        <f t="shared" si="370"/>
        <v>0</v>
      </c>
      <c r="S478" s="85">
        <v>0</v>
      </c>
      <c r="T478" s="85">
        <v>0</v>
      </c>
      <c r="U478" s="85">
        <v>0</v>
      </c>
      <c r="V478" s="85">
        <v>0</v>
      </c>
      <c r="W478" s="85">
        <v>0</v>
      </c>
      <c r="X478" s="85">
        <v>0</v>
      </c>
      <c r="Y478" s="85">
        <v>0</v>
      </c>
      <c r="Z478" s="85">
        <v>0</v>
      </c>
      <c r="AA478" s="85">
        <v>0</v>
      </c>
      <c r="AB478" s="85">
        <v>0</v>
      </c>
      <c r="AC478" s="150">
        <v>0</v>
      </c>
      <c r="AD478" s="146">
        <f t="shared" si="367"/>
        <v>0</v>
      </c>
    </row>
    <row r="479" spans="1:30">
      <c r="A479" s="40"/>
      <c r="B479" s="10" t="s">
        <v>31</v>
      </c>
      <c r="C479" s="30"/>
      <c r="D479" s="31"/>
      <c r="E479" s="32"/>
      <c r="F479" s="33">
        <f t="shared" si="372"/>
        <v>1637</v>
      </c>
      <c r="G479" s="33">
        <v>0</v>
      </c>
      <c r="H479" s="33">
        <v>0</v>
      </c>
      <c r="I479" s="33">
        <f t="shared" si="368"/>
        <v>1637</v>
      </c>
      <c r="J479" s="33">
        <v>0</v>
      </c>
      <c r="K479" s="33">
        <v>0</v>
      </c>
      <c r="L479" s="33">
        <v>0</v>
      </c>
      <c r="M479" s="33">
        <v>0</v>
      </c>
      <c r="N479" s="87">
        <v>1637</v>
      </c>
      <c r="O479" s="87">
        <v>0</v>
      </c>
      <c r="P479" s="87">
        <v>0</v>
      </c>
      <c r="Q479" s="87">
        <v>0</v>
      </c>
      <c r="R479" s="119">
        <f t="shared" si="370"/>
        <v>0</v>
      </c>
      <c r="S479" s="87">
        <v>0</v>
      </c>
      <c r="T479" s="87">
        <v>0</v>
      </c>
      <c r="U479" s="87">
        <v>0</v>
      </c>
      <c r="V479" s="87">
        <v>0</v>
      </c>
      <c r="W479" s="87">
        <v>0</v>
      </c>
      <c r="X479" s="87">
        <v>0</v>
      </c>
      <c r="Y479" s="87">
        <v>0</v>
      </c>
      <c r="Z479" s="87">
        <v>0</v>
      </c>
      <c r="AA479" s="87">
        <v>0</v>
      </c>
      <c r="AB479" s="87">
        <v>0</v>
      </c>
      <c r="AC479" s="161">
        <v>0</v>
      </c>
      <c r="AD479" s="148">
        <f t="shared" si="367"/>
        <v>0</v>
      </c>
    </row>
    <row r="480" spans="1:30" ht="33.75">
      <c r="A480" s="51">
        <v>165</v>
      </c>
      <c r="B480" s="37" t="s">
        <v>278</v>
      </c>
      <c r="C480" s="24" t="s">
        <v>153</v>
      </c>
      <c r="D480" s="47">
        <v>2016</v>
      </c>
      <c r="E480" s="26">
        <f>F481</f>
        <v>2445</v>
      </c>
      <c r="F480" s="27">
        <f>F481</f>
        <v>2445</v>
      </c>
      <c r="G480" s="28">
        <f>G481</f>
        <v>0</v>
      </c>
      <c r="H480" s="28">
        <f>H481</f>
        <v>0</v>
      </c>
      <c r="I480" s="28">
        <f t="shared" si="368"/>
        <v>2445</v>
      </c>
      <c r="J480" s="27">
        <f>J481</f>
        <v>0</v>
      </c>
      <c r="K480" s="27">
        <f t="shared" ref="K480:Q480" si="376">K481</f>
        <v>0</v>
      </c>
      <c r="L480" s="27">
        <f t="shared" si="376"/>
        <v>2445</v>
      </c>
      <c r="M480" s="27">
        <f t="shared" si="376"/>
        <v>0</v>
      </c>
      <c r="N480" s="85">
        <f t="shared" si="376"/>
        <v>0</v>
      </c>
      <c r="O480" s="85">
        <f t="shared" si="376"/>
        <v>0</v>
      </c>
      <c r="P480" s="85">
        <f t="shared" si="376"/>
        <v>0</v>
      </c>
      <c r="Q480" s="85">
        <f t="shared" si="376"/>
        <v>0</v>
      </c>
      <c r="R480" s="118">
        <f t="shared" si="370"/>
        <v>0</v>
      </c>
      <c r="S480" s="85">
        <v>0</v>
      </c>
      <c r="T480" s="85">
        <v>0</v>
      </c>
      <c r="U480" s="85">
        <v>0</v>
      </c>
      <c r="V480" s="85">
        <v>0</v>
      </c>
      <c r="W480" s="85">
        <v>0</v>
      </c>
      <c r="X480" s="85">
        <v>0</v>
      </c>
      <c r="Y480" s="85">
        <v>0</v>
      </c>
      <c r="Z480" s="85">
        <v>0</v>
      </c>
      <c r="AA480" s="85">
        <v>0</v>
      </c>
      <c r="AB480" s="85">
        <v>0</v>
      </c>
      <c r="AC480" s="150">
        <v>0</v>
      </c>
      <c r="AD480" s="146">
        <f t="shared" si="367"/>
        <v>0</v>
      </c>
    </row>
    <row r="481" spans="1:30">
      <c r="A481" s="40"/>
      <c r="B481" s="10" t="s">
        <v>31</v>
      </c>
      <c r="C481" s="30"/>
      <c r="D481" s="31"/>
      <c r="E481" s="32"/>
      <c r="F481" s="33">
        <f>H481+I481+AD481</f>
        <v>2445</v>
      </c>
      <c r="G481" s="33">
        <v>0</v>
      </c>
      <c r="H481" s="33">
        <v>0</v>
      </c>
      <c r="I481" s="33">
        <f t="shared" si="368"/>
        <v>2445</v>
      </c>
      <c r="J481" s="33">
        <v>0</v>
      </c>
      <c r="K481" s="33">
        <v>0</v>
      </c>
      <c r="L481" s="33">
        <v>2445</v>
      </c>
      <c r="M481" s="33">
        <v>0</v>
      </c>
      <c r="N481" s="87">
        <v>0</v>
      </c>
      <c r="O481" s="87">
        <v>0</v>
      </c>
      <c r="P481" s="87">
        <v>0</v>
      </c>
      <c r="Q481" s="87">
        <v>0</v>
      </c>
      <c r="R481" s="119">
        <f t="shared" si="370"/>
        <v>0</v>
      </c>
      <c r="S481" s="87">
        <v>0</v>
      </c>
      <c r="T481" s="87">
        <v>0</v>
      </c>
      <c r="U481" s="87">
        <v>0</v>
      </c>
      <c r="V481" s="87">
        <v>0</v>
      </c>
      <c r="W481" s="87">
        <v>0</v>
      </c>
      <c r="X481" s="87">
        <v>0</v>
      </c>
      <c r="Y481" s="87">
        <v>0</v>
      </c>
      <c r="Z481" s="87">
        <v>0</v>
      </c>
      <c r="AA481" s="87">
        <v>0</v>
      </c>
      <c r="AB481" s="87">
        <v>0</v>
      </c>
      <c r="AC481" s="161">
        <v>0</v>
      </c>
      <c r="AD481" s="148">
        <f t="shared" si="367"/>
        <v>0</v>
      </c>
    </row>
    <row r="482" spans="1:30">
      <c r="A482" s="54" t="s">
        <v>279</v>
      </c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95"/>
      <c r="O482" s="95"/>
      <c r="P482" s="95"/>
      <c r="Q482" s="95"/>
      <c r="R482" s="120"/>
      <c r="S482" s="95"/>
      <c r="T482" s="95"/>
      <c r="U482" s="95"/>
      <c r="V482" s="95"/>
      <c r="W482" s="95"/>
      <c r="X482" s="95"/>
      <c r="Y482" s="95"/>
      <c r="Z482" s="95"/>
      <c r="AA482" s="95"/>
      <c r="AB482" s="95"/>
      <c r="AC482" s="166"/>
      <c r="AD482" s="151">
        <f t="shared" si="367"/>
        <v>0</v>
      </c>
    </row>
    <row r="483" spans="1:30" ht="22.5">
      <c r="A483" s="20">
        <v>166</v>
      </c>
      <c r="B483" s="37" t="s">
        <v>280</v>
      </c>
      <c r="C483" s="24" t="s">
        <v>281</v>
      </c>
      <c r="D483" s="25" t="s">
        <v>390</v>
      </c>
      <c r="E483" s="26">
        <f>F484</f>
        <v>74381.187999999995</v>
      </c>
      <c r="F483" s="27">
        <f>F484</f>
        <v>74381.187999999995</v>
      </c>
      <c r="G483" s="28">
        <f>G484</f>
        <v>49887.487999999998</v>
      </c>
      <c r="H483" s="28">
        <f>H484</f>
        <v>50877.487999999998</v>
      </c>
      <c r="I483" s="28">
        <f t="shared" ref="I483:I500" si="377">SUM(K483:O483)</f>
        <v>13891.7</v>
      </c>
      <c r="J483" s="27">
        <f>J484</f>
        <v>990</v>
      </c>
      <c r="K483" s="27">
        <f t="shared" ref="K483:Q483" si="378">K484</f>
        <v>1311</v>
      </c>
      <c r="L483" s="27">
        <f t="shared" si="378"/>
        <v>2998.3</v>
      </c>
      <c r="M483" s="27">
        <f t="shared" si="378"/>
        <v>2650.4</v>
      </c>
      <c r="N483" s="85">
        <f t="shared" si="378"/>
        <v>3212</v>
      </c>
      <c r="O483" s="85">
        <f t="shared" si="378"/>
        <v>3720</v>
      </c>
      <c r="P483" s="88">
        <f t="shared" si="378"/>
        <v>3412</v>
      </c>
      <c r="Q483" s="85">
        <f t="shared" si="378"/>
        <v>5700</v>
      </c>
      <c r="R483" s="118">
        <f t="shared" ref="R483:R503" si="379">SUM(S483:AC483)</f>
        <v>500</v>
      </c>
      <c r="S483" s="85">
        <f>S484</f>
        <v>500</v>
      </c>
      <c r="T483" s="85">
        <f t="shared" ref="T483:AC483" si="380">T484</f>
        <v>0</v>
      </c>
      <c r="U483" s="85">
        <f t="shared" si="380"/>
        <v>0</v>
      </c>
      <c r="V483" s="85">
        <f t="shared" si="380"/>
        <v>0</v>
      </c>
      <c r="W483" s="85">
        <f t="shared" si="380"/>
        <v>0</v>
      </c>
      <c r="X483" s="85">
        <f t="shared" si="380"/>
        <v>0</v>
      </c>
      <c r="Y483" s="85">
        <f t="shared" si="380"/>
        <v>0</v>
      </c>
      <c r="Z483" s="85">
        <f t="shared" si="380"/>
        <v>0</v>
      </c>
      <c r="AA483" s="85">
        <f t="shared" si="380"/>
        <v>0</v>
      </c>
      <c r="AB483" s="85">
        <f t="shared" si="380"/>
        <v>0</v>
      </c>
      <c r="AC483" s="150">
        <f t="shared" si="380"/>
        <v>0</v>
      </c>
      <c r="AD483" s="146">
        <f t="shared" si="367"/>
        <v>9612</v>
      </c>
    </row>
    <row r="484" spans="1:30">
      <c r="A484" s="40"/>
      <c r="B484" s="10" t="s">
        <v>31</v>
      </c>
      <c r="C484" s="30"/>
      <c r="D484" s="31"/>
      <c r="E484" s="32"/>
      <c r="F484" s="33">
        <f>H484+I484+AD484</f>
        <v>74381.187999999995</v>
      </c>
      <c r="G484" s="34">
        <v>49887.487999999998</v>
      </c>
      <c r="H484" s="33">
        <v>50877.487999999998</v>
      </c>
      <c r="I484" s="33">
        <f>SUM(K484:O484)</f>
        <v>13891.7</v>
      </c>
      <c r="J484" s="33">
        <v>990</v>
      </c>
      <c r="K484" s="33">
        <v>1311</v>
      </c>
      <c r="L484" s="33">
        <v>2998.3</v>
      </c>
      <c r="M484" s="33">
        <v>2650.4</v>
      </c>
      <c r="N484" s="87">
        <v>3212</v>
      </c>
      <c r="O484" s="87">
        <v>3720</v>
      </c>
      <c r="P484" s="87">
        <v>3412</v>
      </c>
      <c r="Q484" s="87">
        <v>5700</v>
      </c>
      <c r="R484" s="119">
        <f t="shared" si="379"/>
        <v>500</v>
      </c>
      <c r="S484" s="87">
        <v>500</v>
      </c>
      <c r="T484" s="87">
        <v>0</v>
      </c>
      <c r="U484" s="87">
        <v>0</v>
      </c>
      <c r="V484" s="87">
        <v>0</v>
      </c>
      <c r="W484" s="87">
        <v>0</v>
      </c>
      <c r="X484" s="87">
        <v>0</v>
      </c>
      <c r="Y484" s="87">
        <v>0</v>
      </c>
      <c r="Z484" s="87">
        <v>0</v>
      </c>
      <c r="AA484" s="87">
        <v>0</v>
      </c>
      <c r="AB484" s="87">
        <v>0</v>
      </c>
      <c r="AC484" s="161">
        <v>0</v>
      </c>
      <c r="AD484" s="152">
        <f t="shared" si="367"/>
        <v>9612</v>
      </c>
    </row>
    <row r="485" spans="1:30" ht="33.75">
      <c r="A485" s="20">
        <v>167</v>
      </c>
      <c r="B485" s="37" t="s">
        <v>282</v>
      </c>
      <c r="C485" s="24" t="s">
        <v>110</v>
      </c>
      <c r="D485" s="25" t="s">
        <v>81</v>
      </c>
      <c r="E485" s="26">
        <f>F486</f>
        <v>182097.22100000002</v>
      </c>
      <c r="F485" s="27">
        <f>F486+F487</f>
        <v>206447.22100000002</v>
      </c>
      <c r="G485" s="27">
        <f>G486+G487</f>
        <v>1921.9190000000001</v>
      </c>
      <c r="H485" s="27">
        <f>H486+H487</f>
        <v>3469.2110000000002</v>
      </c>
      <c r="I485" s="28">
        <f t="shared" si="377"/>
        <v>202978.01</v>
      </c>
      <c r="J485" s="27">
        <f t="shared" ref="J485:Q485" si="381">J486+J487</f>
        <v>1547.2919999999999</v>
      </c>
      <c r="K485" s="27">
        <f t="shared" si="381"/>
        <v>17719</v>
      </c>
      <c r="L485" s="27">
        <f t="shared" si="381"/>
        <v>45748.553</v>
      </c>
      <c r="M485" s="27">
        <f t="shared" si="381"/>
        <v>17966.432000000001</v>
      </c>
      <c r="N485" s="85">
        <f t="shared" si="381"/>
        <v>96379.933000000005</v>
      </c>
      <c r="O485" s="85">
        <f t="shared" si="381"/>
        <v>25164.092000000001</v>
      </c>
      <c r="P485" s="85">
        <f t="shared" si="381"/>
        <v>0</v>
      </c>
      <c r="Q485" s="85">
        <f t="shared" si="381"/>
        <v>0</v>
      </c>
      <c r="R485" s="118">
        <f t="shared" si="379"/>
        <v>0</v>
      </c>
      <c r="S485" s="85">
        <f>S486+S487</f>
        <v>0</v>
      </c>
      <c r="T485" s="85">
        <f t="shared" ref="T485:AC485" si="382">T486+T487</f>
        <v>0</v>
      </c>
      <c r="U485" s="85">
        <f t="shared" si="382"/>
        <v>0</v>
      </c>
      <c r="V485" s="85">
        <f t="shared" si="382"/>
        <v>0</v>
      </c>
      <c r="W485" s="85">
        <f t="shared" si="382"/>
        <v>0</v>
      </c>
      <c r="X485" s="85">
        <f t="shared" si="382"/>
        <v>0</v>
      </c>
      <c r="Y485" s="85">
        <f t="shared" si="382"/>
        <v>0</v>
      </c>
      <c r="Z485" s="85">
        <f t="shared" si="382"/>
        <v>0</v>
      </c>
      <c r="AA485" s="85">
        <f t="shared" si="382"/>
        <v>0</v>
      </c>
      <c r="AB485" s="85">
        <f t="shared" si="382"/>
        <v>0</v>
      </c>
      <c r="AC485" s="150">
        <f t="shared" si="382"/>
        <v>0</v>
      </c>
      <c r="AD485" s="146">
        <f t="shared" si="367"/>
        <v>0</v>
      </c>
    </row>
    <row r="486" spans="1:30">
      <c r="A486" s="40"/>
      <c r="B486" s="10" t="s">
        <v>31</v>
      </c>
      <c r="C486" s="30"/>
      <c r="D486" s="31"/>
      <c r="E486" s="32"/>
      <c r="F486" s="33">
        <f>H486+I486+AD486</f>
        <v>182097.22100000002</v>
      </c>
      <c r="G486" s="34">
        <v>1921.9190000000001</v>
      </c>
      <c r="H486" s="33">
        <v>3469.2110000000002</v>
      </c>
      <c r="I486" s="33">
        <f t="shared" si="377"/>
        <v>178628.01</v>
      </c>
      <c r="J486" s="33">
        <v>1547.2919999999999</v>
      </c>
      <c r="K486" s="33">
        <v>10719</v>
      </c>
      <c r="L486" s="33">
        <v>33048.553</v>
      </c>
      <c r="M486" s="33">
        <f>13624.239-307.807</f>
        <v>13316.431999999999</v>
      </c>
      <c r="N486" s="87">
        <v>96379.933000000005</v>
      </c>
      <c r="O486" s="87">
        <v>25164.092000000001</v>
      </c>
      <c r="P486" s="87">
        <v>0</v>
      </c>
      <c r="Q486" s="87">
        <v>0</v>
      </c>
      <c r="R486" s="119">
        <f t="shared" si="379"/>
        <v>0</v>
      </c>
      <c r="S486" s="87">
        <v>0</v>
      </c>
      <c r="T486" s="87">
        <v>0</v>
      </c>
      <c r="U486" s="87">
        <v>0</v>
      </c>
      <c r="V486" s="87">
        <v>0</v>
      </c>
      <c r="W486" s="87">
        <v>0</v>
      </c>
      <c r="X486" s="87">
        <v>0</v>
      </c>
      <c r="Y486" s="87">
        <v>0</v>
      </c>
      <c r="Z486" s="87">
        <v>0</v>
      </c>
      <c r="AA486" s="87">
        <v>0</v>
      </c>
      <c r="AB486" s="87">
        <v>0</v>
      </c>
      <c r="AC486" s="161">
        <v>0</v>
      </c>
      <c r="AD486" s="148">
        <f t="shared" si="367"/>
        <v>0</v>
      </c>
    </row>
    <row r="487" spans="1:30">
      <c r="A487" s="40"/>
      <c r="B487" s="10" t="s">
        <v>89</v>
      </c>
      <c r="C487" s="30"/>
      <c r="D487" s="31"/>
      <c r="E487" s="32"/>
      <c r="F487" s="33">
        <f>H487+I487+AD487</f>
        <v>24350</v>
      </c>
      <c r="G487" s="34">
        <v>0</v>
      </c>
      <c r="H487" s="33">
        <v>0</v>
      </c>
      <c r="I487" s="33">
        <f t="shared" si="377"/>
        <v>24350</v>
      </c>
      <c r="J487" s="33">
        <v>0</v>
      </c>
      <c r="K487" s="33">
        <v>7000</v>
      </c>
      <c r="L487" s="33">
        <v>12700</v>
      </c>
      <c r="M487" s="33">
        <v>4650</v>
      </c>
      <c r="N487" s="87">
        <v>0</v>
      </c>
      <c r="O487" s="87">
        <v>0</v>
      </c>
      <c r="P487" s="87"/>
      <c r="Q487" s="87"/>
      <c r="R487" s="119">
        <f t="shared" si="379"/>
        <v>0</v>
      </c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161"/>
      <c r="AD487" s="148">
        <f t="shared" si="367"/>
        <v>0</v>
      </c>
    </row>
    <row r="488" spans="1:30" ht="33.75">
      <c r="A488" s="51">
        <v>168</v>
      </c>
      <c r="B488" s="37" t="s">
        <v>283</v>
      </c>
      <c r="C488" s="24" t="s">
        <v>284</v>
      </c>
      <c r="D488" s="47">
        <v>2015</v>
      </c>
      <c r="E488" s="26">
        <f>F489</f>
        <v>116</v>
      </c>
      <c r="F488" s="27">
        <f>F489</f>
        <v>116</v>
      </c>
      <c r="G488" s="28">
        <f>G489</f>
        <v>0</v>
      </c>
      <c r="H488" s="28">
        <f>H489</f>
        <v>0</v>
      </c>
      <c r="I488" s="28">
        <f t="shared" si="377"/>
        <v>116</v>
      </c>
      <c r="J488" s="27">
        <f>J489</f>
        <v>0</v>
      </c>
      <c r="K488" s="27">
        <f t="shared" ref="K488:Q492" si="383">K489</f>
        <v>116</v>
      </c>
      <c r="L488" s="27">
        <f t="shared" si="383"/>
        <v>0</v>
      </c>
      <c r="M488" s="27">
        <f t="shared" si="383"/>
        <v>0</v>
      </c>
      <c r="N488" s="85">
        <f t="shared" si="383"/>
        <v>0</v>
      </c>
      <c r="O488" s="85">
        <f t="shared" si="383"/>
        <v>0</v>
      </c>
      <c r="P488" s="85">
        <f t="shared" si="383"/>
        <v>0</v>
      </c>
      <c r="Q488" s="85">
        <f t="shared" si="383"/>
        <v>0</v>
      </c>
      <c r="R488" s="118">
        <f t="shared" si="379"/>
        <v>0</v>
      </c>
      <c r="S488" s="85">
        <f>S489</f>
        <v>0</v>
      </c>
      <c r="T488" s="85">
        <f t="shared" ref="T488:AC492" si="384">T489</f>
        <v>0</v>
      </c>
      <c r="U488" s="85">
        <f t="shared" si="384"/>
        <v>0</v>
      </c>
      <c r="V488" s="85">
        <f t="shared" si="384"/>
        <v>0</v>
      </c>
      <c r="W488" s="85">
        <f t="shared" si="384"/>
        <v>0</v>
      </c>
      <c r="X488" s="85">
        <f t="shared" si="384"/>
        <v>0</v>
      </c>
      <c r="Y488" s="85">
        <f t="shared" si="384"/>
        <v>0</v>
      </c>
      <c r="Z488" s="85">
        <f t="shared" si="384"/>
        <v>0</v>
      </c>
      <c r="AA488" s="85">
        <f t="shared" si="384"/>
        <v>0</v>
      </c>
      <c r="AB488" s="85">
        <f t="shared" si="384"/>
        <v>0</v>
      </c>
      <c r="AC488" s="150">
        <f t="shared" si="384"/>
        <v>0</v>
      </c>
      <c r="AD488" s="146">
        <f t="shared" si="367"/>
        <v>0</v>
      </c>
    </row>
    <row r="489" spans="1:30">
      <c r="A489" s="40"/>
      <c r="B489" s="10" t="s">
        <v>31</v>
      </c>
      <c r="C489" s="30"/>
      <c r="D489" s="31"/>
      <c r="E489" s="32"/>
      <c r="F489" s="33">
        <f>H489+I489+AD489</f>
        <v>116</v>
      </c>
      <c r="G489" s="33">
        <v>0</v>
      </c>
      <c r="H489" s="33">
        <v>0</v>
      </c>
      <c r="I489" s="33">
        <f t="shared" si="377"/>
        <v>116</v>
      </c>
      <c r="J489" s="33">
        <v>0</v>
      </c>
      <c r="K489" s="33">
        <v>116</v>
      </c>
      <c r="L489" s="33">
        <v>0</v>
      </c>
      <c r="M489" s="33">
        <v>0</v>
      </c>
      <c r="N489" s="87">
        <v>0</v>
      </c>
      <c r="O489" s="87">
        <v>0</v>
      </c>
      <c r="P489" s="87">
        <v>0</v>
      </c>
      <c r="Q489" s="87">
        <v>0</v>
      </c>
      <c r="R489" s="119">
        <f t="shared" si="379"/>
        <v>0</v>
      </c>
      <c r="S489" s="87">
        <v>0</v>
      </c>
      <c r="T489" s="87">
        <v>0</v>
      </c>
      <c r="U489" s="87">
        <v>0</v>
      </c>
      <c r="V489" s="87">
        <v>0</v>
      </c>
      <c r="W489" s="87">
        <v>0</v>
      </c>
      <c r="X489" s="87">
        <v>0</v>
      </c>
      <c r="Y489" s="87">
        <v>0</v>
      </c>
      <c r="Z489" s="87">
        <v>0</v>
      </c>
      <c r="AA489" s="87">
        <v>0</v>
      </c>
      <c r="AB489" s="87">
        <v>0</v>
      </c>
      <c r="AC489" s="161">
        <v>0</v>
      </c>
      <c r="AD489" s="148">
        <f t="shared" si="367"/>
        <v>0</v>
      </c>
    </row>
    <row r="490" spans="1:30" ht="22.5">
      <c r="A490" s="51">
        <v>169</v>
      </c>
      <c r="B490" s="37" t="s">
        <v>424</v>
      </c>
      <c r="C490" s="24" t="s">
        <v>160</v>
      </c>
      <c r="D490" s="47" t="s">
        <v>404</v>
      </c>
      <c r="E490" s="26">
        <f>F491</f>
        <v>15400</v>
      </c>
      <c r="F490" s="27">
        <f>F491</f>
        <v>15400</v>
      </c>
      <c r="G490" s="28">
        <f>G491</f>
        <v>0</v>
      </c>
      <c r="H490" s="28">
        <f>H491</f>
        <v>0</v>
      </c>
      <c r="I490" s="28">
        <f>SUM(K490:O490)</f>
        <v>0</v>
      </c>
      <c r="J490" s="27">
        <f>J491</f>
        <v>0</v>
      </c>
      <c r="K490" s="27">
        <f t="shared" si="383"/>
        <v>0</v>
      </c>
      <c r="L490" s="27">
        <f t="shared" si="383"/>
        <v>0</v>
      </c>
      <c r="M490" s="27">
        <f t="shared" si="383"/>
        <v>0</v>
      </c>
      <c r="N490" s="85">
        <f t="shared" si="383"/>
        <v>0</v>
      </c>
      <c r="O490" s="85">
        <f t="shared" si="383"/>
        <v>0</v>
      </c>
      <c r="P490" s="85">
        <f t="shared" si="383"/>
        <v>9450</v>
      </c>
      <c r="Q490" s="85">
        <f t="shared" si="383"/>
        <v>5950</v>
      </c>
      <c r="R490" s="118">
        <f>SUM(S490:AC490)</f>
        <v>0</v>
      </c>
      <c r="S490" s="85">
        <f>S491</f>
        <v>0</v>
      </c>
      <c r="T490" s="85">
        <f t="shared" si="384"/>
        <v>0</v>
      </c>
      <c r="U490" s="85">
        <f t="shared" si="384"/>
        <v>0</v>
      </c>
      <c r="V490" s="85">
        <f t="shared" si="384"/>
        <v>0</v>
      </c>
      <c r="W490" s="85">
        <f t="shared" si="384"/>
        <v>0</v>
      </c>
      <c r="X490" s="85">
        <f t="shared" si="384"/>
        <v>0</v>
      </c>
      <c r="Y490" s="85">
        <f t="shared" si="384"/>
        <v>0</v>
      </c>
      <c r="Z490" s="85">
        <f t="shared" si="384"/>
        <v>0</v>
      </c>
      <c r="AA490" s="85">
        <f t="shared" si="384"/>
        <v>0</v>
      </c>
      <c r="AB490" s="85">
        <f t="shared" si="384"/>
        <v>0</v>
      </c>
      <c r="AC490" s="150">
        <f t="shared" si="384"/>
        <v>0</v>
      </c>
      <c r="AD490" s="146">
        <f>P490+Q490+R490</f>
        <v>15400</v>
      </c>
    </row>
    <row r="491" spans="1:30">
      <c r="A491" s="40"/>
      <c r="B491" s="10" t="s">
        <v>31</v>
      </c>
      <c r="C491" s="30"/>
      <c r="D491" s="31"/>
      <c r="E491" s="32"/>
      <c r="F491" s="33">
        <f>H491+I491+AD491</f>
        <v>15400</v>
      </c>
      <c r="G491" s="33">
        <v>0</v>
      </c>
      <c r="H491" s="33">
        <v>0</v>
      </c>
      <c r="I491" s="33">
        <f>SUM(K491:O491)</f>
        <v>0</v>
      </c>
      <c r="J491" s="33">
        <v>0</v>
      </c>
      <c r="K491" s="33">
        <v>0</v>
      </c>
      <c r="L491" s="33">
        <v>0</v>
      </c>
      <c r="M491" s="33">
        <v>0</v>
      </c>
      <c r="N491" s="87">
        <v>0</v>
      </c>
      <c r="O491" s="87">
        <v>0</v>
      </c>
      <c r="P491" s="87">
        <v>9450</v>
      </c>
      <c r="Q491" s="87">
        <v>5950</v>
      </c>
      <c r="R491" s="119">
        <f>SUM(S491:AC491)</f>
        <v>0</v>
      </c>
      <c r="S491" s="87">
        <v>0</v>
      </c>
      <c r="T491" s="87">
        <v>0</v>
      </c>
      <c r="U491" s="87">
        <v>0</v>
      </c>
      <c r="V491" s="87">
        <v>0</v>
      </c>
      <c r="W491" s="87">
        <v>0</v>
      </c>
      <c r="X491" s="87">
        <v>0</v>
      </c>
      <c r="Y491" s="87">
        <v>0</v>
      </c>
      <c r="Z491" s="87">
        <v>0</v>
      </c>
      <c r="AA491" s="87">
        <v>0</v>
      </c>
      <c r="AB491" s="87">
        <v>0</v>
      </c>
      <c r="AC491" s="161">
        <v>0</v>
      </c>
      <c r="AD491" s="148">
        <f>P491+Q491+R491</f>
        <v>15400</v>
      </c>
    </row>
    <row r="492" spans="1:30" ht="22.5">
      <c r="A492" s="51">
        <v>170</v>
      </c>
      <c r="B492" s="56" t="s">
        <v>440</v>
      </c>
      <c r="C492" s="24" t="s">
        <v>441</v>
      </c>
      <c r="D492" s="47" t="s">
        <v>404</v>
      </c>
      <c r="E492" s="26">
        <f>F493</f>
        <v>10000</v>
      </c>
      <c r="F492" s="27">
        <f>F493</f>
        <v>10000</v>
      </c>
      <c r="G492" s="28">
        <f>G493</f>
        <v>0</v>
      </c>
      <c r="H492" s="28">
        <f>H493</f>
        <v>0</v>
      </c>
      <c r="I492" s="28">
        <f>SUM(K492:O492)</f>
        <v>0</v>
      </c>
      <c r="J492" s="27">
        <f>J493</f>
        <v>0</v>
      </c>
      <c r="K492" s="27">
        <f t="shared" si="383"/>
        <v>0</v>
      </c>
      <c r="L492" s="27">
        <f t="shared" si="383"/>
        <v>0</v>
      </c>
      <c r="M492" s="27">
        <f t="shared" si="383"/>
        <v>0</v>
      </c>
      <c r="N492" s="85">
        <f t="shared" si="383"/>
        <v>0</v>
      </c>
      <c r="O492" s="85">
        <f t="shared" si="383"/>
        <v>0</v>
      </c>
      <c r="P492" s="85">
        <f t="shared" si="383"/>
        <v>5000</v>
      </c>
      <c r="Q492" s="85">
        <f t="shared" si="383"/>
        <v>5000</v>
      </c>
      <c r="R492" s="118">
        <f>SUM(S492:AC492)</f>
        <v>0</v>
      </c>
      <c r="S492" s="85">
        <f>S493</f>
        <v>0</v>
      </c>
      <c r="T492" s="85">
        <f t="shared" si="384"/>
        <v>0</v>
      </c>
      <c r="U492" s="85">
        <f t="shared" si="384"/>
        <v>0</v>
      </c>
      <c r="V492" s="85">
        <f t="shared" si="384"/>
        <v>0</v>
      </c>
      <c r="W492" s="85">
        <f t="shared" si="384"/>
        <v>0</v>
      </c>
      <c r="X492" s="85">
        <f t="shared" si="384"/>
        <v>0</v>
      </c>
      <c r="Y492" s="85">
        <f t="shared" si="384"/>
        <v>0</v>
      </c>
      <c r="Z492" s="85">
        <f t="shared" si="384"/>
        <v>0</v>
      </c>
      <c r="AA492" s="85">
        <f t="shared" si="384"/>
        <v>0</v>
      </c>
      <c r="AB492" s="85">
        <f t="shared" si="384"/>
        <v>0</v>
      </c>
      <c r="AC492" s="150">
        <f t="shared" si="384"/>
        <v>0</v>
      </c>
      <c r="AD492" s="146">
        <f>P492+Q492+R492</f>
        <v>10000</v>
      </c>
    </row>
    <row r="493" spans="1:30">
      <c r="A493" s="40"/>
      <c r="B493" s="10" t="s">
        <v>31</v>
      </c>
      <c r="C493" s="30"/>
      <c r="D493" s="31"/>
      <c r="E493" s="32"/>
      <c r="F493" s="33">
        <f>H493+I493+AD493</f>
        <v>10000</v>
      </c>
      <c r="G493" s="33">
        <v>0</v>
      </c>
      <c r="H493" s="33">
        <v>0</v>
      </c>
      <c r="I493" s="33">
        <f>SUM(K493:O493)</f>
        <v>0</v>
      </c>
      <c r="J493" s="33">
        <v>0</v>
      </c>
      <c r="K493" s="33">
        <v>0</v>
      </c>
      <c r="L493" s="33">
        <v>0</v>
      </c>
      <c r="M493" s="33">
        <v>0</v>
      </c>
      <c r="N493" s="87">
        <v>0</v>
      </c>
      <c r="O493" s="87">
        <v>0</v>
      </c>
      <c r="P493" s="87">
        <v>5000</v>
      </c>
      <c r="Q493" s="87">
        <v>5000</v>
      </c>
      <c r="R493" s="119">
        <f>SUM(S493:AC493)</f>
        <v>0</v>
      </c>
      <c r="S493" s="87">
        <v>0</v>
      </c>
      <c r="T493" s="87">
        <v>0</v>
      </c>
      <c r="U493" s="87">
        <v>0</v>
      </c>
      <c r="V493" s="87">
        <v>0</v>
      </c>
      <c r="W493" s="87">
        <v>0</v>
      </c>
      <c r="X493" s="87">
        <v>0</v>
      </c>
      <c r="Y493" s="87">
        <v>0</v>
      </c>
      <c r="Z493" s="87">
        <v>0</v>
      </c>
      <c r="AA493" s="87">
        <v>0</v>
      </c>
      <c r="AB493" s="87">
        <v>0</v>
      </c>
      <c r="AC493" s="161">
        <v>0</v>
      </c>
      <c r="AD493" s="148">
        <f>P493+Q493+R493</f>
        <v>10000</v>
      </c>
    </row>
    <row r="494" spans="1:30" ht="29.25">
      <c r="A494" s="20">
        <v>171</v>
      </c>
      <c r="B494" s="37" t="s">
        <v>285</v>
      </c>
      <c r="C494" s="24" t="s">
        <v>286</v>
      </c>
      <c r="D494" s="25" t="s">
        <v>35</v>
      </c>
      <c r="E494" s="26">
        <f>F495</f>
        <v>19868</v>
      </c>
      <c r="F494" s="27">
        <f>F495+F496</f>
        <v>20259</v>
      </c>
      <c r="G494" s="27">
        <f>G495+G496</f>
        <v>0</v>
      </c>
      <c r="H494" s="27">
        <f>H495+H496</f>
        <v>0</v>
      </c>
      <c r="I494" s="28">
        <f t="shared" si="377"/>
        <v>16411</v>
      </c>
      <c r="J494" s="27">
        <f t="shared" ref="J494:Q494" si="385">J495+J496</f>
        <v>0</v>
      </c>
      <c r="K494" s="27">
        <f t="shared" si="385"/>
        <v>3000</v>
      </c>
      <c r="L494" s="27">
        <f t="shared" si="385"/>
        <v>3196</v>
      </c>
      <c r="M494" s="27">
        <f t="shared" si="385"/>
        <v>3169.2</v>
      </c>
      <c r="N494" s="85">
        <f t="shared" si="385"/>
        <v>471.8</v>
      </c>
      <c r="O494" s="85">
        <f t="shared" si="385"/>
        <v>6574</v>
      </c>
      <c r="P494" s="85">
        <f t="shared" si="385"/>
        <v>1448</v>
      </c>
      <c r="Q494" s="85">
        <f t="shared" si="385"/>
        <v>2400</v>
      </c>
      <c r="R494" s="118">
        <f t="shared" si="379"/>
        <v>0</v>
      </c>
      <c r="S494" s="85">
        <f>S495+S496</f>
        <v>0</v>
      </c>
      <c r="T494" s="85">
        <f t="shared" ref="T494:AC494" si="386">T495+T496</f>
        <v>0</v>
      </c>
      <c r="U494" s="85">
        <f t="shared" si="386"/>
        <v>0</v>
      </c>
      <c r="V494" s="85">
        <f t="shared" si="386"/>
        <v>0</v>
      </c>
      <c r="W494" s="85">
        <f t="shared" si="386"/>
        <v>0</v>
      </c>
      <c r="X494" s="85">
        <f t="shared" si="386"/>
        <v>0</v>
      </c>
      <c r="Y494" s="85">
        <f t="shared" si="386"/>
        <v>0</v>
      </c>
      <c r="Z494" s="85">
        <f t="shared" si="386"/>
        <v>0</v>
      </c>
      <c r="AA494" s="85">
        <f t="shared" si="386"/>
        <v>0</v>
      </c>
      <c r="AB494" s="85">
        <f t="shared" si="386"/>
        <v>0</v>
      </c>
      <c r="AC494" s="150">
        <f t="shared" si="386"/>
        <v>0</v>
      </c>
      <c r="AD494" s="146">
        <f t="shared" si="367"/>
        <v>3848</v>
      </c>
    </row>
    <row r="495" spans="1:30">
      <c r="A495" s="40"/>
      <c r="B495" s="10" t="s">
        <v>31</v>
      </c>
      <c r="C495" s="30"/>
      <c r="D495" s="31"/>
      <c r="E495" s="32"/>
      <c r="F495" s="33">
        <f>H495+I495+AD495</f>
        <v>19868</v>
      </c>
      <c r="G495" s="34">
        <v>0</v>
      </c>
      <c r="H495" s="33">
        <v>0</v>
      </c>
      <c r="I495" s="33">
        <f t="shared" si="377"/>
        <v>16020</v>
      </c>
      <c r="J495" s="33">
        <v>0</v>
      </c>
      <c r="K495" s="33">
        <v>3000</v>
      </c>
      <c r="L495" s="33">
        <v>2805</v>
      </c>
      <c r="M495" s="35">
        <f>3444-185.8-89</f>
        <v>3169.2</v>
      </c>
      <c r="N495" s="87">
        <v>471.8</v>
      </c>
      <c r="O495" s="87">
        <v>6574</v>
      </c>
      <c r="P495" s="87">
        <f>1328+120</f>
        <v>1448</v>
      </c>
      <c r="Q495" s="87">
        <v>2400</v>
      </c>
      <c r="R495" s="119">
        <f t="shared" si="379"/>
        <v>0</v>
      </c>
      <c r="S495" s="87">
        <v>0</v>
      </c>
      <c r="T495" s="87">
        <v>0</v>
      </c>
      <c r="U495" s="87">
        <v>0</v>
      </c>
      <c r="V495" s="87">
        <v>0</v>
      </c>
      <c r="W495" s="87">
        <v>0</v>
      </c>
      <c r="X495" s="87">
        <v>0</v>
      </c>
      <c r="Y495" s="87">
        <v>0</v>
      </c>
      <c r="Z495" s="87">
        <v>0</v>
      </c>
      <c r="AA495" s="87">
        <v>0</v>
      </c>
      <c r="AB495" s="87">
        <v>0</v>
      </c>
      <c r="AC495" s="161">
        <v>0</v>
      </c>
      <c r="AD495" s="148">
        <f t="shared" si="367"/>
        <v>3848</v>
      </c>
    </row>
    <row r="496" spans="1:30">
      <c r="A496" s="40"/>
      <c r="B496" s="10" t="s">
        <v>89</v>
      </c>
      <c r="C496" s="30"/>
      <c r="D496" s="31"/>
      <c r="E496" s="32"/>
      <c r="F496" s="33">
        <f>H496+I496+AD496</f>
        <v>391</v>
      </c>
      <c r="G496" s="34">
        <v>0</v>
      </c>
      <c r="H496" s="33">
        <v>0</v>
      </c>
      <c r="I496" s="33">
        <f t="shared" si="377"/>
        <v>391</v>
      </c>
      <c r="J496" s="33">
        <v>0</v>
      </c>
      <c r="K496" s="33">
        <v>0</v>
      </c>
      <c r="L496" s="33">
        <v>391</v>
      </c>
      <c r="M496" s="33">
        <v>0</v>
      </c>
      <c r="N496" s="87">
        <v>0</v>
      </c>
      <c r="O496" s="87">
        <v>0</v>
      </c>
      <c r="P496" s="87"/>
      <c r="Q496" s="87"/>
      <c r="R496" s="119">
        <f t="shared" si="379"/>
        <v>0</v>
      </c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161"/>
      <c r="AD496" s="148">
        <f t="shared" si="367"/>
        <v>0</v>
      </c>
    </row>
    <row r="497" spans="1:182" ht="22.5">
      <c r="A497" s="20">
        <v>172</v>
      </c>
      <c r="B497" s="37" t="s">
        <v>111</v>
      </c>
      <c r="C497" s="24" t="s">
        <v>348</v>
      </c>
      <c r="D497" s="53" t="s">
        <v>105</v>
      </c>
      <c r="E497" s="26">
        <f>F498</f>
        <v>5049.74</v>
      </c>
      <c r="F497" s="27">
        <f>F498</f>
        <v>5049.74</v>
      </c>
      <c r="G497" s="28">
        <f>G498</f>
        <v>0</v>
      </c>
      <c r="H497" s="28">
        <f>H498</f>
        <v>0</v>
      </c>
      <c r="I497" s="28">
        <f>SUM(K497:O497)</f>
        <v>3209.74</v>
      </c>
      <c r="J497" s="27">
        <f>J498</f>
        <v>0</v>
      </c>
      <c r="K497" s="27">
        <f t="shared" ref="K497:Q497" si="387">K498</f>
        <v>0</v>
      </c>
      <c r="L497" s="27">
        <f t="shared" si="387"/>
        <v>0</v>
      </c>
      <c r="M497" s="27">
        <f t="shared" si="387"/>
        <v>0</v>
      </c>
      <c r="N497" s="85">
        <f t="shared" si="387"/>
        <v>2272.62</v>
      </c>
      <c r="O497" s="85">
        <f t="shared" si="387"/>
        <v>937.12</v>
      </c>
      <c r="P497" s="85">
        <f t="shared" si="387"/>
        <v>1840</v>
      </c>
      <c r="Q497" s="85">
        <f t="shared" si="387"/>
        <v>0</v>
      </c>
      <c r="R497" s="118">
        <f t="shared" si="379"/>
        <v>0</v>
      </c>
      <c r="S497" s="85">
        <f>S498</f>
        <v>0</v>
      </c>
      <c r="T497" s="85">
        <f t="shared" ref="T497:AC497" si="388">T498</f>
        <v>0</v>
      </c>
      <c r="U497" s="85">
        <f t="shared" si="388"/>
        <v>0</v>
      </c>
      <c r="V497" s="85">
        <f t="shared" si="388"/>
        <v>0</v>
      </c>
      <c r="W497" s="85">
        <f t="shared" si="388"/>
        <v>0</v>
      </c>
      <c r="X497" s="85">
        <f t="shared" si="388"/>
        <v>0</v>
      </c>
      <c r="Y497" s="85">
        <f t="shared" si="388"/>
        <v>0</v>
      </c>
      <c r="Z497" s="85">
        <f t="shared" si="388"/>
        <v>0</v>
      </c>
      <c r="AA497" s="85">
        <f t="shared" si="388"/>
        <v>0</v>
      </c>
      <c r="AB497" s="85">
        <f t="shared" si="388"/>
        <v>0</v>
      </c>
      <c r="AC497" s="150">
        <f t="shared" si="388"/>
        <v>0</v>
      </c>
      <c r="AD497" s="146">
        <f t="shared" si="367"/>
        <v>1840</v>
      </c>
    </row>
    <row r="498" spans="1:182">
      <c r="A498" s="40"/>
      <c r="B498" s="10" t="s">
        <v>31</v>
      </c>
      <c r="C498" s="30"/>
      <c r="D498" s="31"/>
      <c r="E498" s="32"/>
      <c r="F498" s="33">
        <f>H498+I498+AD498</f>
        <v>5049.74</v>
      </c>
      <c r="G498" s="34">
        <v>0</v>
      </c>
      <c r="H498" s="33">
        <v>0</v>
      </c>
      <c r="I498" s="33">
        <f>SUM(K498:O498)</f>
        <v>3209.74</v>
      </c>
      <c r="J498" s="33">
        <v>0</v>
      </c>
      <c r="K498" s="33">
        <v>0</v>
      </c>
      <c r="L498" s="33">
        <v>0</v>
      </c>
      <c r="M498" s="33">
        <v>0</v>
      </c>
      <c r="N498" s="86">
        <v>2272.62</v>
      </c>
      <c r="O498" s="89">
        <v>937.12</v>
      </c>
      <c r="P498" s="87">
        <v>1840</v>
      </c>
      <c r="Q498" s="87"/>
      <c r="R498" s="119">
        <f t="shared" si="379"/>
        <v>0</v>
      </c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161"/>
      <c r="AD498" s="148">
        <f t="shared" si="367"/>
        <v>1840</v>
      </c>
    </row>
    <row r="499" spans="1:182" ht="22.5">
      <c r="A499" s="51">
        <v>173</v>
      </c>
      <c r="B499" s="37" t="s">
        <v>138</v>
      </c>
      <c r="C499" s="24" t="s">
        <v>287</v>
      </c>
      <c r="D499" s="47" t="s">
        <v>96</v>
      </c>
      <c r="E499" s="26">
        <f>F500</f>
        <v>23575.566999999999</v>
      </c>
      <c r="F499" s="27">
        <f>F500</f>
        <v>23575.566999999999</v>
      </c>
      <c r="G499" s="28">
        <f>G500</f>
        <v>0</v>
      </c>
      <c r="H499" s="28">
        <f>H500</f>
        <v>0</v>
      </c>
      <c r="I499" s="28">
        <f t="shared" si="377"/>
        <v>19186.566999999999</v>
      </c>
      <c r="J499" s="27">
        <f>J500</f>
        <v>0</v>
      </c>
      <c r="K499" s="27">
        <f t="shared" ref="K499:Q499" si="389">K500</f>
        <v>0</v>
      </c>
      <c r="L499" s="27">
        <f t="shared" si="389"/>
        <v>4866.7669999999998</v>
      </c>
      <c r="M499" s="27">
        <f t="shared" si="389"/>
        <v>6789.7150000000001</v>
      </c>
      <c r="N499" s="85">
        <f t="shared" si="389"/>
        <v>4873.3159999999998</v>
      </c>
      <c r="O499" s="85">
        <f t="shared" si="389"/>
        <v>2656.7689999999998</v>
      </c>
      <c r="P499" s="85">
        <f t="shared" si="389"/>
        <v>4239</v>
      </c>
      <c r="Q499" s="85">
        <f t="shared" si="389"/>
        <v>150</v>
      </c>
      <c r="R499" s="118">
        <f t="shared" si="379"/>
        <v>0</v>
      </c>
      <c r="S499" s="85">
        <f>S500</f>
        <v>0</v>
      </c>
      <c r="T499" s="85">
        <f t="shared" ref="T499:AC499" si="390">T500</f>
        <v>0</v>
      </c>
      <c r="U499" s="85">
        <f t="shared" si="390"/>
        <v>0</v>
      </c>
      <c r="V499" s="85">
        <f t="shared" si="390"/>
        <v>0</v>
      </c>
      <c r="W499" s="85">
        <f t="shared" si="390"/>
        <v>0</v>
      </c>
      <c r="X499" s="85">
        <f t="shared" si="390"/>
        <v>0</v>
      </c>
      <c r="Y499" s="85">
        <f t="shared" si="390"/>
        <v>0</v>
      </c>
      <c r="Z499" s="85">
        <f t="shared" si="390"/>
        <v>0</v>
      </c>
      <c r="AA499" s="85">
        <f t="shared" si="390"/>
        <v>0</v>
      </c>
      <c r="AB499" s="85">
        <f t="shared" si="390"/>
        <v>0</v>
      </c>
      <c r="AC499" s="150">
        <f t="shared" si="390"/>
        <v>0</v>
      </c>
      <c r="AD499" s="146">
        <f t="shared" si="367"/>
        <v>4389</v>
      </c>
    </row>
    <row r="500" spans="1:182">
      <c r="A500" s="40"/>
      <c r="B500" s="10" t="s">
        <v>31</v>
      </c>
      <c r="C500" s="30"/>
      <c r="D500" s="31"/>
      <c r="E500" s="32"/>
      <c r="F500" s="33">
        <f>H500+I500+AD500</f>
        <v>23575.566999999999</v>
      </c>
      <c r="G500" s="33">
        <v>0</v>
      </c>
      <c r="H500" s="33">
        <v>0</v>
      </c>
      <c r="I500" s="33">
        <f t="shared" si="377"/>
        <v>19186.566999999999</v>
      </c>
      <c r="J500" s="33">
        <v>0</v>
      </c>
      <c r="K500" s="33">
        <v>0</v>
      </c>
      <c r="L500" s="33">
        <v>4866.7669999999998</v>
      </c>
      <c r="M500" s="35">
        <v>6789.7150000000001</v>
      </c>
      <c r="N500" s="87">
        <v>4873.3159999999998</v>
      </c>
      <c r="O500" s="87">
        <v>2656.7689999999998</v>
      </c>
      <c r="P500" s="87">
        <v>4239</v>
      </c>
      <c r="Q500" s="87">
        <v>150</v>
      </c>
      <c r="R500" s="119">
        <f t="shared" si="379"/>
        <v>0</v>
      </c>
      <c r="S500" s="87">
        <v>0</v>
      </c>
      <c r="T500" s="87">
        <v>0</v>
      </c>
      <c r="U500" s="87">
        <v>0</v>
      </c>
      <c r="V500" s="87">
        <v>0</v>
      </c>
      <c r="W500" s="87">
        <v>0</v>
      </c>
      <c r="X500" s="87">
        <v>0</v>
      </c>
      <c r="Y500" s="87">
        <v>0</v>
      </c>
      <c r="Z500" s="87">
        <v>0</v>
      </c>
      <c r="AA500" s="87">
        <v>0</v>
      </c>
      <c r="AB500" s="87">
        <v>0</v>
      </c>
      <c r="AC500" s="161">
        <v>0</v>
      </c>
      <c r="AD500" s="148">
        <f t="shared" si="367"/>
        <v>4389</v>
      </c>
    </row>
    <row r="501" spans="1:182" ht="45">
      <c r="A501" s="20">
        <v>174</v>
      </c>
      <c r="B501" s="23" t="s">
        <v>323</v>
      </c>
      <c r="C501" s="24" t="s">
        <v>104</v>
      </c>
      <c r="D501" s="25" t="s">
        <v>151</v>
      </c>
      <c r="E501" s="26">
        <f>F502</f>
        <v>1870.3530000000001</v>
      </c>
      <c r="F501" s="27">
        <f>F502+F503</f>
        <v>6399.9610000000002</v>
      </c>
      <c r="G501" s="27">
        <f>G502+G503</f>
        <v>0</v>
      </c>
      <c r="H501" s="27">
        <f>H502+H503</f>
        <v>0</v>
      </c>
      <c r="I501" s="28">
        <f t="shared" ref="I501:I507" si="391">SUM(K501:O501)</f>
        <v>6399.9610000000002</v>
      </c>
      <c r="J501" s="27">
        <f t="shared" ref="J501:Q501" si="392">J502+J503</f>
        <v>0</v>
      </c>
      <c r="K501" s="27">
        <f t="shared" si="392"/>
        <v>0</v>
      </c>
      <c r="L501" s="27">
        <f t="shared" si="392"/>
        <v>0</v>
      </c>
      <c r="M501" s="27">
        <f t="shared" si="392"/>
        <v>0</v>
      </c>
      <c r="N501" s="85">
        <f t="shared" si="392"/>
        <v>788.93399999999997</v>
      </c>
      <c r="O501" s="85">
        <f t="shared" si="392"/>
        <v>5611.027</v>
      </c>
      <c r="P501" s="85">
        <f t="shared" si="392"/>
        <v>0</v>
      </c>
      <c r="Q501" s="85">
        <f t="shared" si="392"/>
        <v>0</v>
      </c>
      <c r="R501" s="118">
        <f t="shared" si="379"/>
        <v>0</v>
      </c>
      <c r="S501" s="85">
        <f>S502+S503</f>
        <v>0</v>
      </c>
      <c r="T501" s="85">
        <f t="shared" ref="T501:AC501" si="393">T502+T503</f>
        <v>0</v>
      </c>
      <c r="U501" s="85">
        <f t="shared" si="393"/>
        <v>0</v>
      </c>
      <c r="V501" s="85">
        <f t="shared" si="393"/>
        <v>0</v>
      </c>
      <c r="W501" s="85">
        <f t="shared" si="393"/>
        <v>0</v>
      </c>
      <c r="X501" s="85">
        <f t="shared" si="393"/>
        <v>0</v>
      </c>
      <c r="Y501" s="85">
        <f t="shared" si="393"/>
        <v>0</v>
      </c>
      <c r="Z501" s="85">
        <f t="shared" si="393"/>
        <v>0</v>
      </c>
      <c r="AA501" s="85">
        <f t="shared" si="393"/>
        <v>0</v>
      </c>
      <c r="AB501" s="85">
        <f t="shared" si="393"/>
        <v>0</v>
      </c>
      <c r="AC501" s="150">
        <f t="shared" si="393"/>
        <v>0</v>
      </c>
      <c r="AD501" s="146">
        <f t="shared" si="367"/>
        <v>0</v>
      </c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  <c r="CB501" s="9"/>
      <c r="CC501" s="9"/>
      <c r="CD501" s="9"/>
      <c r="CE501" s="9"/>
      <c r="CF501" s="9"/>
      <c r="CG501" s="9"/>
      <c r="CH501" s="9"/>
      <c r="CI501" s="9"/>
      <c r="CJ501" s="9"/>
      <c r="CK501" s="9"/>
      <c r="CL501" s="9"/>
      <c r="CM501" s="9"/>
      <c r="CN501" s="9"/>
      <c r="CO501" s="9"/>
      <c r="CP501" s="9"/>
      <c r="CQ501" s="9"/>
      <c r="CR501" s="9"/>
      <c r="CS501" s="9"/>
      <c r="CT501" s="9"/>
      <c r="CU501" s="9"/>
      <c r="CV501" s="9"/>
      <c r="CW501" s="9"/>
      <c r="CX501" s="9"/>
      <c r="CY501" s="9"/>
      <c r="CZ501" s="9"/>
      <c r="DA501" s="9"/>
      <c r="DB501" s="9"/>
      <c r="DC501" s="9"/>
      <c r="DD501" s="9"/>
      <c r="DE501" s="9"/>
      <c r="DF501" s="9"/>
      <c r="DG501" s="9"/>
      <c r="DH501" s="9"/>
      <c r="DI501" s="9"/>
      <c r="DJ501" s="9"/>
      <c r="DK501" s="9"/>
      <c r="DL501" s="9"/>
      <c r="DM501" s="9"/>
      <c r="DN501" s="9"/>
      <c r="DO501" s="9"/>
      <c r="DP501" s="9"/>
      <c r="DQ501" s="9"/>
      <c r="DR501" s="9"/>
      <c r="DS501" s="9"/>
      <c r="DT501" s="9"/>
      <c r="DU501" s="9"/>
      <c r="DV501" s="9"/>
      <c r="DW501" s="9"/>
      <c r="DX501" s="9"/>
      <c r="DY501" s="9"/>
      <c r="DZ501" s="9"/>
      <c r="EA501" s="9"/>
      <c r="EB501" s="9"/>
      <c r="EC501" s="9"/>
      <c r="ED501" s="9"/>
      <c r="EE501" s="9"/>
      <c r="EF501" s="9"/>
      <c r="EG501" s="9"/>
      <c r="EH501" s="9"/>
      <c r="EI501" s="9"/>
      <c r="EJ501" s="9"/>
      <c r="EK501" s="9"/>
      <c r="EL501" s="9"/>
      <c r="EM501" s="9"/>
      <c r="EN501" s="9"/>
      <c r="EO501" s="9"/>
      <c r="EP501" s="9"/>
      <c r="EQ501" s="9"/>
      <c r="ER501" s="9"/>
      <c r="ES501" s="9"/>
      <c r="ET501" s="9"/>
      <c r="EU501" s="9"/>
      <c r="EV501" s="9"/>
      <c r="EW501" s="9"/>
      <c r="EX501" s="9"/>
      <c r="EY501" s="9"/>
      <c r="EZ501" s="9"/>
      <c r="FA501" s="9"/>
      <c r="FB501" s="9"/>
      <c r="FC501" s="9"/>
      <c r="FD501" s="9"/>
      <c r="FE501" s="9"/>
      <c r="FF501" s="9"/>
      <c r="FG501" s="9"/>
      <c r="FH501" s="9"/>
      <c r="FI501" s="9"/>
      <c r="FJ501" s="9"/>
      <c r="FK501" s="9"/>
      <c r="FL501" s="9"/>
      <c r="FM501" s="9"/>
      <c r="FN501" s="9"/>
      <c r="FO501" s="9"/>
      <c r="FP501" s="9"/>
      <c r="FQ501" s="9"/>
      <c r="FR501" s="9"/>
      <c r="FS501" s="9"/>
      <c r="FT501" s="9"/>
      <c r="FU501" s="9"/>
      <c r="FV501" s="9"/>
      <c r="FW501" s="9"/>
      <c r="FX501" s="9"/>
      <c r="FY501" s="9"/>
      <c r="FZ501" s="9"/>
    </row>
    <row r="502" spans="1:182">
      <c r="A502" s="40"/>
      <c r="B502" s="10" t="s">
        <v>31</v>
      </c>
      <c r="C502" s="30"/>
      <c r="D502" s="31"/>
      <c r="E502" s="32"/>
      <c r="F502" s="33">
        <f>H502+I502+AD502</f>
        <v>1870.3530000000001</v>
      </c>
      <c r="G502" s="34">
        <v>0</v>
      </c>
      <c r="H502" s="33">
        <v>0</v>
      </c>
      <c r="I502" s="33">
        <f t="shared" si="391"/>
        <v>1870.3530000000001</v>
      </c>
      <c r="J502" s="33">
        <v>0</v>
      </c>
      <c r="K502" s="11">
        <v>0</v>
      </c>
      <c r="L502" s="33">
        <v>0</v>
      </c>
      <c r="M502" s="35">
        <v>0</v>
      </c>
      <c r="N502" s="86">
        <v>243.73599999999999</v>
      </c>
      <c r="O502" s="86">
        <v>1626.617</v>
      </c>
      <c r="P502" s="87">
        <v>0</v>
      </c>
      <c r="Q502" s="87">
        <v>0</v>
      </c>
      <c r="R502" s="119">
        <f t="shared" si="379"/>
        <v>0</v>
      </c>
      <c r="S502" s="87">
        <v>0</v>
      </c>
      <c r="T502" s="87">
        <v>0</v>
      </c>
      <c r="U502" s="87">
        <v>0</v>
      </c>
      <c r="V502" s="87">
        <v>0</v>
      </c>
      <c r="W502" s="87">
        <v>0</v>
      </c>
      <c r="X502" s="87">
        <v>0</v>
      </c>
      <c r="Y502" s="87">
        <v>0</v>
      </c>
      <c r="Z502" s="87">
        <v>0</v>
      </c>
      <c r="AA502" s="87">
        <v>0</v>
      </c>
      <c r="AB502" s="87">
        <v>0</v>
      </c>
      <c r="AC502" s="161">
        <v>0</v>
      </c>
      <c r="AD502" s="148">
        <f t="shared" si="367"/>
        <v>0</v>
      </c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  <c r="CB502" s="9"/>
      <c r="CC502" s="9"/>
      <c r="CD502" s="9"/>
      <c r="CE502" s="9"/>
      <c r="CF502" s="9"/>
      <c r="CG502" s="9"/>
      <c r="CH502" s="9"/>
      <c r="CI502" s="9"/>
      <c r="CJ502" s="9"/>
      <c r="CK502" s="9"/>
      <c r="CL502" s="9"/>
      <c r="CM502" s="9"/>
      <c r="CN502" s="9"/>
      <c r="CO502" s="9"/>
      <c r="CP502" s="9"/>
      <c r="CQ502" s="9"/>
      <c r="CR502" s="9"/>
      <c r="CS502" s="9"/>
      <c r="CT502" s="9"/>
      <c r="CU502" s="9"/>
      <c r="CV502" s="9"/>
      <c r="CW502" s="9"/>
      <c r="CX502" s="9"/>
      <c r="CY502" s="9"/>
      <c r="CZ502" s="9"/>
      <c r="DA502" s="9"/>
      <c r="DB502" s="9"/>
      <c r="DC502" s="9"/>
      <c r="DD502" s="9"/>
      <c r="DE502" s="9"/>
      <c r="DF502" s="9"/>
      <c r="DG502" s="9"/>
      <c r="DH502" s="9"/>
      <c r="DI502" s="9"/>
      <c r="DJ502" s="9"/>
      <c r="DK502" s="9"/>
      <c r="DL502" s="9"/>
      <c r="DM502" s="9"/>
      <c r="DN502" s="9"/>
      <c r="DO502" s="9"/>
      <c r="DP502" s="9"/>
      <c r="DQ502" s="9"/>
      <c r="DR502" s="9"/>
      <c r="DS502" s="9"/>
      <c r="DT502" s="9"/>
      <c r="DU502" s="9"/>
      <c r="DV502" s="9"/>
      <c r="DW502" s="9"/>
      <c r="DX502" s="9"/>
      <c r="DY502" s="9"/>
      <c r="DZ502" s="9"/>
      <c r="EA502" s="9"/>
      <c r="EB502" s="9"/>
      <c r="EC502" s="9"/>
      <c r="ED502" s="9"/>
      <c r="EE502" s="9"/>
      <c r="EF502" s="9"/>
      <c r="EG502" s="9"/>
      <c r="EH502" s="9"/>
      <c r="EI502" s="9"/>
      <c r="EJ502" s="9"/>
      <c r="EK502" s="9"/>
      <c r="EL502" s="9"/>
      <c r="EM502" s="9"/>
      <c r="EN502" s="9"/>
      <c r="EO502" s="9"/>
      <c r="EP502" s="9"/>
      <c r="EQ502" s="9"/>
      <c r="ER502" s="9"/>
      <c r="ES502" s="9"/>
      <c r="ET502" s="9"/>
      <c r="EU502" s="9"/>
      <c r="EV502" s="9"/>
      <c r="EW502" s="9"/>
      <c r="EX502" s="9"/>
      <c r="EY502" s="9"/>
      <c r="EZ502" s="9"/>
      <c r="FA502" s="9"/>
      <c r="FB502" s="9"/>
      <c r="FC502" s="9"/>
      <c r="FD502" s="9"/>
      <c r="FE502" s="9"/>
      <c r="FF502" s="9"/>
      <c r="FG502" s="9"/>
      <c r="FH502" s="9"/>
      <c r="FI502" s="9"/>
      <c r="FJ502" s="9"/>
      <c r="FK502" s="9"/>
      <c r="FL502" s="9"/>
      <c r="FM502" s="9"/>
      <c r="FN502" s="9"/>
      <c r="FO502" s="9"/>
      <c r="FP502" s="9"/>
      <c r="FQ502" s="9"/>
      <c r="FR502" s="9"/>
      <c r="FS502" s="9"/>
      <c r="FT502" s="9"/>
      <c r="FU502" s="9"/>
      <c r="FV502" s="9"/>
      <c r="FW502" s="9"/>
      <c r="FX502" s="9"/>
      <c r="FY502" s="9"/>
      <c r="FZ502" s="9"/>
    </row>
    <row r="503" spans="1:182">
      <c r="A503" s="40"/>
      <c r="B503" s="38" t="s">
        <v>41</v>
      </c>
      <c r="C503" s="30"/>
      <c r="D503" s="31"/>
      <c r="E503" s="32"/>
      <c r="F503" s="33">
        <f>H503+I503+AD503</f>
        <v>4529.6080000000002</v>
      </c>
      <c r="G503" s="34">
        <v>0</v>
      </c>
      <c r="H503" s="33">
        <v>0</v>
      </c>
      <c r="I503" s="33">
        <f t="shared" si="391"/>
        <v>4529.6080000000002</v>
      </c>
      <c r="J503" s="33">
        <v>0</v>
      </c>
      <c r="K503" s="11">
        <v>0</v>
      </c>
      <c r="L503" s="33">
        <v>0</v>
      </c>
      <c r="M503" s="35">
        <v>0</v>
      </c>
      <c r="N503" s="86">
        <v>545.19799999999998</v>
      </c>
      <c r="O503" s="86">
        <v>3984.41</v>
      </c>
      <c r="P503" s="87">
        <v>0</v>
      </c>
      <c r="Q503" s="87">
        <v>0</v>
      </c>
      <c r="R503" s="119">
        <f t="shared" si="379"/>
        <v>0</v>
      </c>
      <c r="S503" s="87">
        <v>0</v>
      </c>
      <c r="T503" s="87">
        <v>0</v>
      </c>
      <c r="U503" s="87">
        <v>0</v>
      </c>
      <c r="V503" s="87">
        <v>0</v>
      </c>
      <c r="W503" s="87">
        <v>0</v>
      </c>
      <c r="X503" s="87">
        <v>0</v>
      </c>
      <c r="Y503" s="87">
        <v>0</v>
      </c>
      <c r="Z503" s="87">
        <v>0</v>
      </c>
      <c r="AA503" s="87">
        <v>0</v>
      </c>
      <c r="AB503" s="87">
        <v>0</v>
      </c>
      <c r="AC503" s="161">
        <v>0</v>
      </c>
      <c r="AD503" s="148">
        <f t="shared" si="367"/>
        <v>0</v>
      </c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  <c r="CB503" s="9"/>
      <c r="CC503" s="9"/>
      <c r="CD503" s="9"/>
      <c r="CE503" s="9"/>
      <c r="CF503" s="9"/>
      <c r="CG503" s="9"/>
      <c r="CH503" s="9"/>
      <c r="CI503" s="9"/>
      <c r="CJ503" s="9"/>
      <c r="CK503" s="9"/>
      <c r="CL503" s="9"/>
      <c r="CM503" s="9"/>
      <c r="CN503" s="9"/>
      <c r="CO503" s="9"/>
      <c r="CP503" s="9"/>
      <c r="CQ503" s="9"/>
      <c r="CR503" s="9"/>
      <c r="CS503" s="9"/>
      <c r="CT503" s="9"/>
      <c r="CU503" s="9"/>
      <c r="CV503" s="9"/>
      <c r="CW503" s="9"/>
      <c r="CX503" s="9"/>
      <c r="CY503" s="9"/>
      <c r="CZ503" s="9"/>
      <c r="DA503" s="9"/>
      <c r="DB503" s="9"/>
      <c r="DC503" s="9"/>
      <c r="DD503" s="9"/>
      <c r="DE503" s="9"/>
      <c r="DF503" s="9"/>
      <c r="DG503" s="9"/>
      <c r="DH503" s="9"/>
      <c r="DI503" s="9"/>
      <c r="DJ503" s="9"/>
      <c r="DK503" s="9"/>
      <c r="DL503" s="9"/>
      <c r="DM503" s="9"/>
      <c r="DN503" s="9"/>
      <c r="DO503" s="9"/>
      <c r="DP503" s="9"/>
      <c r="DQ503" s="9"/>
      <c r="DR503" s="9"/>
      <c r="DS503" s="9"/>
      <c r="DT503" s="9"/>
      <c r="DU503" s="9"/>
      <c r="DV503" s="9"/>
      <c r="DW503" s="9"/>
      <c r="DX503" s="9"/>
      <c r="DY503" s="9"/>
      <c r="DZ503" s="9"/>
      <c r="EA503" s="9"/>
      <c r="EB503" s="9"/>
      <c r="EC503" s="9"/>
      <c r="ED503" s="9"/>
      <c r="EE503" s="9"/>
      <c r="EF503" s="9"/>
      <c r="EG503" s="9"/>
      <c r="EH503" s="9"/>
      <c r="EI503" s="9"/>
      <c r="EJ503" s="9"/>
      <c r="EK503" s="9"/>
      <c r="EL503" s="9"/>
      <c r="EM503" s="9"/>
      <c r="EN503" s="9"/>
      <c r="EO503" s="9"/>
      <c r="EP503" s="9"/>
      <c r="EQ503" s="9"/>
      <c r="ER503" s="9"/>
      <c r="ES503" s="9"/>
      <c r="ET503" s="9"/>
      <c r="EU503" s="9"/>
      <c r="EV503" s="9"/>
      <c r="EW503" s="9"/>
      <c r="EX503" s="9"/>
      <c r="EY503" s="9"/>
      <c r="EZ503" s="9"/>
      <c r="FA503" s="9"/>
      <c r="FB503" s="9"/>
      <c r="FC503" s="9"/>
      <c r="FD503" s="9"/>
      <c r="FE503" s="9"/>
      <c r="FF503" s="9"/>
      <c r="FG503" s="9"/>
      <c r="FH503" s="9"/>
      <c r="FI503" s="9"/>
      <c r="FJ503" s="9"/>
      <c r="FK503" s="9"/>
      <c r="FL503" s="9"/>
      <c r="FM503" s="9"/>
      <c r="FN503" s="9"/>
      <c r="FO503" s="9"/>
      <c r="FP503" s="9"/>
      <c r="FQ503" s="9"/>
      <c r="FR503" s="9"/>
      <c r="FS503" s="9"/>
      <c r="FT503" s="9"/>
      <c r="FU503" s="9"/>
      <c r="FV503" s="9"/>
      <c r="FW503" s="9"/>
      <c r="FX503" s="9"/>
      <c r="FY503" s="9"/>
      <c r="FZ503" s="9"/>
    </row>
    <row r="504" spans="1:182" ht="22.5">
      <c r="A504" s="20">
        <v>175</v>
      </c>
      <c r="B504" s="37" t="s">
        <v>288</v>
      </c>
      <c r="C504" s="24" t="s">
        <v>319</v>
      </c>
      <c r="D504" s="25" t="s">
        <v>320</v>
      </c>
      <c r="E504" s="26">
        <f>F505</f>
        <v>11596.892</v>
      </c>
      <c r="F504" s="27">
        <f>F505+F506</f>
        <v>11675.615</v>
      </c>
      <c r="G504" s="28">
        <v>0</v>
      </c>
      <c r="H504" s="28">
        <v>0</v>
      </c>
      <c r="I504" s="28">
        <f t="shared" si="391"/>
        <v>5499.6860000000006</v>
      </c>
      <c r="J504" s="27">
        <f>J505+J506+J507</f>
        <v>0</v>
      </c>
      <c r="K504" s="27">
        <f t="shared" ref="K504:Q504" si="394">K505+K506+K507</f>
        <v>875</v>
      </c>
      <c r="L504" s="27">
        <f t="shared" si="394"/>
        <v>1400.229</v>
      </c>
      <c r="M504" s="27">
        <f t="shared" si="394"/>
        <v>144.53200000000004</v>
      </c>
      <c r="N504" s="85">
        <f t="shared" si="394"/>
        <v>1135</v>
      </c>
      <c r="O504" s="85">
        <f t="shared" si="394"/>
        <v>1944.925</v>
      </c>
      <c r="P504" s="85">
        <f t="shared" si="394"/>
        <v>4175.9290000000001</v>
      </c>
      <c r="Q504" s="85">
        <f t="shared" si="394"/>
        <v>2000</v>
      </c>
      <c r="R504" s="118">
        <f>SUM(S504:AC504)</f>
        <v>0</v>
      </c>
      <c r="S504" s="85">
        <f>S505+S506+S507</f>
        <v>0</v>
      </c>
      <c r="T504" s="85">
        <f t="shared" ref="T504:AC504" si="395">T505+T506+T507</f>
        <v>0</v>
      </c>
      <c r="U504" s="85">
        <f t="shared" si="395"/>
        <v>0</v>
      </c>
      <c r="V504" s="85">
        <f t="shared" si="395"/>
        <v>0</v>
      </c>
      <c r="W504" s="85">
        <f t="shared" si="395"/>
        <v>0</v>
      </c>
      <c r="X504" s="85">
        <f t="shared" si="395"/>
        <v>0</v>
      </c>
      <c r="Y504" s="85">
        <f t="shared" si="395"/>
        <v>0</v>
      </c>
      <c r="Z504" s="85">
        <f t="shared" si="395"/>
        <v>0</v>
      </c>
      <c r="AA504" s="85">
        <f t="shared" si="395"/>
        <v>0</v>
      </c>
      <c r="AB504" s="85">
        <f t="shared" si="395"/>
        <v>0</v>
      </c>
      <c r="AC504" s="150">
        <f t="shared" si="395"/>
        <v>0</v>
      </c>
      <c r="AD504" s="146">
        <f t="shared" si="367"/>
        <v>6175.9290000000001</v>
      </c>
    </row>
    <row r="505" spans="1:182">
      <c r="A505" s="40"/>
      <c r="B505" s="10" t="s">
        <v>31</v>
      </c>
      <c r="C505" s="30"/>
      <c r="D505" s="31"/>
      <c r="E505" s="32"/>
      <c r="F505" s="33">
        <f>H505+I505+AD505</f>
        <v>11596.892</v>
      </c>
      <c r="G505" s="34">
        <v>0</v>
      </c>
      <c r="H505" s="33">
        <v>0</v>
      </c>
      <c r="I505" s="33">
        <f t="shared" si="391"/>
        <v>5420.9630000000006</v>
      </c>
      <c r="J505" s="33">
        <v>0</v>
      </c>
      <c r="K505" s="33">
        <v>875</v>
      </c>
      <c r="L505" s="33">
        <v>1321.5060000000001</v>
      </c>
      <c r="M505" s="33">
        <f>944.532-450-350</f>
        <v>144.53200000000004</v>
      </c>
      <c r="N505" s="87">
        <v>1135</v>
      </c>
      <c r="O505" s="87">
        <v>1944.925</v>
      </c>
      <c r="P505" s="86">
        <v>4175.9290000000001</v>
      </c>
      <c r="Q505" s="87">
        <v>2000</v>
      </c>
      <c r="R505" s="119">
        <f>SUM(S505:AC505)</f>
        <v>0</v>
      </c>
      <c r="S505" s="86">
        <v>0</v>
      </c>
      <c r="T505" s="87">
        <v>0</v>
      </c>
      <c r="U505" s="87">
        <v>0</v>
      </c>
      <c r="V505" s="87">
        <v>0</v>
      </c>
      <c r="W505" s="87">
        <v>0</v>
      </c>
      <c r="X505" s="87">
        <v>0</v>
      </c>
      <c r="Y505" s="87">
        <v>0</v>
      </c>
      <c r="Z505" s="87">
        <v>0</v>
      </c>
      <c r="AA505" s="87">
        <v>0</v>
      </c>
      <c r="AB505" s="87">
        <v>0</v>
      </c>
      <c r="AC505" s="161">
        <v>0</v>
      </c>
      <c r="AD505" s="148">
        <f t="shared" si="367"/>
        <v>6175.9290000000001</v>
      </c>
    </row>
    <row r="506" spans="1:182">
      <c r="A506" s="40"/>
      <c r="B506" s="10" t="s">
        <v>289</v>
      </c>
      <c r="C506" s="30"/>
      <c r="D506" s="31"/>
      <c r="E506" s="32"/>
      <c r="F506" s="33">
        <f>H506+I506+AD506</f>
        <v>78.722999999999999</v>
      </c>
      <c r="G506" s="34"/>
      <c r="H506" s="33"/>
      <c r="I506" s="33">
        <f t="shared" si="391"/>
        <v>78.722999999999999</v>
      </c>
      <c r="J506" s="33"/>
      <c r="K506" s="33">
        <v>0</v>
      </c>
      <c r="L506" s="33">
        <v>78.722999999999999</v>
      </c>
      <c r="M506" s="33">
        <v>0</v>
      </c>
      <c r="N506" s="87">
        <v>0</v>
      </c>
      <c r="O506" s="87">
        <v>0</v>
      </c>
      <c r="P506" s="87">
        <v>0</v>
      </c>
      <c r="Q506" s="87">
        <v>0</v>
      </c>
      <c r="R506" s="119">
        <f>SUM(S506:AC506)</f>
        <v>0</v>
      </c>
      <c r="S506" s="87">
        <v>0</v>
      </c>
      <c r="T506" s="87">
        <v>0</v>
      </c>
      <c r="U506" s="87">
        <v>0</v>
      </c>
      <c r="V506" s="87">
        <v>0</v>
      </c>
      <c r="W506" s="87">
        <v>0</v>
      </c>
      <c r="X506" s="87">
        <v>0</v>
      </c>
      <c r="Y506" s="87">
        <v>0</v>
      </c>
      <c r="Z506" s="87">
        <v>0</v>
      </c>
      <c r="AA506" s="87">
        <v>0</v>
      </c>
      <c r="AB506" s="87">
        <v>0</v>
      </c>
      <c r="AC506" s="161">
        <v>0</v>
      </c>
      <c r="AD506" s="148">
        <f t="shared" si="367"/>
        <v>0</v>
      </c>
    </row>
    <row r="507" spans="1:182">
      <c r="A507" s="40"/>
      <c r="B507" s="38" t="s">
        <v>41</v>
      </c>
      <c r="C507" s="30"/>
      <c r="D507" s="31"/>
      <c r="E507" s="32"/>
      <c r="F507" s="33">
        <f>H507+I507+AD507</f>
        <v>0</v>
      </c>
      <c r="G507" s="34">
        <v>0</v>
      </c>
      <c r="H507" s="33">
        <v>0</v>
      </c>
      <c r="I507" s="33">
        <f t="shared" si="391"/>
        <v>0</v>
      </c>
      <c r="J507" s="33">
        <v>0</v>
      </c>
      <c r="K507" s="33">
        <v>0</v>
      </c>
      <c r="L507" s="33">
        <v>0</v>
      </c>
      <c r="M507" s="33">
        <v>0</v>
      </c>
      <c r="N507" s="87">
        <v>0</v>
      </c>
      <c r="O507" s="87">
        <v>0</v>
      </c>
      <c r="P507" s="87">
        <v>0</v>
      </c>
      <c r="Q507" s="87">
        <v>0</v>
      </c>
      <c r="R507" s="119">
        <f>SUM(S507:AC507)</f>
        <v>0</v>
      </c>
      <c r="S507" s="87">
        <v>0</v>
      </c>
      <c r="T507" s="87">
        <v>0</v>
      </c>
      <c r="U507" s="87">
        <v>0</v>
      </c>
      <c r="V507" s="87">
        <v>0</v>
      </c>
      <c r="W507" s="87">
        <v>0</v>
      </c>
      <c r="X507" s="87">
        <v>0</v>
      </c>
      <c r="Y507" s="87">
        <v>0</v>
      </c>
      <c r="Z507" s="87">
        <v>0</v>
      </c>
      <c r="AA507" s="87">
        <v>0</v>
      </c>
      <c r="AB507" s="87">
        <v>0</v>
      </c>
      <c r="AC507" s="161">
        <v>0</v>
      </c>
      <c r="AD507" s="148">
        <f t="shared" si="367"/>
        <v>0</v>
      </c>
    </row>
    <row r="508" spans="1:182">
      <c r="A508" s="74"/>
      <c r="B508" s="75"/>
      <c r="C508" s="76"/>
      <c r="D508" s="77"/>
      <c r="E508" s="78"/>
      <c r="F508" s="79"/>
      <c r="G508" s="80"/>
      <c r="H508" s="79"/>
      <c r="I508" s="79"/>
      <c r="J508" s="79"/>
      <c r="K508" s="79"/>
      <c r="L508" s="79"/>
      <c r="M508" s="79"/>
      <c r="N508" s="79"/>
      <c r="O508" s="110"/>
      <c r="P508" s="110"/>
      <c r="Q508" s="110"/>
      <c r="R508" s="124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  <c r="AC508" s="172"/>
      <c r="AD508" s="154"/>
    </row>
    <row r="509" spans="1:182" ht="14.25" customHeight="1">
      <c r="A509" s="177" t="s">
        <v>290</v>
      </c>
      <c r="B509" s="176"/>
      <c r="C509" s="17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11"/>
      <c r="P509" s="111"/>
      <c r="Q509" s="111"/>
      <c r="R509" s="120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73"/>
      <c r="AD509" s="141"/>
    </row>
    <row r="510" spans="1:182" ht="15" customHeight="1">
      <c r="A510" s="81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112"/>
      <c r="P510" s="112"/>
      <c r="Q510" s="112"/>
      <c r="R510" s="125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  <c r="AC510" s="174"/>
      <c r="AD510" s="155"/>
    </row>
    <row r="511" spans="1:182">
      <c r="A511" s="13"/>
      <c r="B511" s="14" t="s">
        <v>291</v>
      </c>
      <c r="C511" s="13"/>
      <c r="D511" s="13"/>
      <c r="E511" s="13"/>
      <c r="F511" s="15">
        <f>F512+F513+F514+F515+F516</f>
        <v>10722416.61803</v>
      </c>
      <c r="G511" s="15">
        <f t="shared" ref="G511:AD511" si="396">G512+G513+G514+G515+G516</f>
        <v>4159271.6150000002</v>
      </c>
      <c r="H511" s="15">
        <f t="shared" si="396"/>
        <v>4780141.6500000004</v>
      </c>
      <c r="I511" s="15">
        <f t="shared" si="396"/>
        <v>3076196.3220300009</v>
      </c>
      <c r="J511" s="15">
        <f t="shared" si="396"/>
        <v>612910.9850000001</v>
      </c>
      <c r="K511" s="15">
        <f t="shared" si="396"/>
        <v>749400.29200000013</v>
      </c>
      <c r="L511" s="15">
        <f t="shared" si="396"/>
        <v>526601.43699999992</v>
      </c>
      <c r="M511" s="15">
        <f t="shared" si="396"/>
        <v>469537.48803000001</v>
      </c>
      <c r="N511" s="15">
        <f t="shared" si="396"/>
        <v>762591.10100000002</v>
      </c>
      <c r="O511" s="15">
        <f t="shared" si="396"/>
        <v>568066.00400000007</v>
      </c>
      <c r="P511" s="15">
        <f t="shared" si="396"/>
        <v>736200.72699999996</v>
      </c>
      <c r="Q511" s="15">
        <f t="shared" si="396"/>
        <v>669925.97200000007</v>
      </c>
      <c r="R511" s="126">
        <f t="shared" si="396"/>
        <v>1459951.9469999999</v>
      </c>
      <c r="S511" s="15">
        <f t="shared" si="396"/>
        <v>589577.99300000002</v>
      </c>
      <c r="T511" s="15">
        <f t="shared" si="396"/>
        <v>517652.52399999998</v>
      </c>
      <c r="U511" s="15">
        <f t="shared" si="396"/>
        <v>165708.23000000001</v>
      </c>
      <c r="V511" s="15">
        <f t="shared" si="396"/>
        <v>118053.20000000001</v>
      </c>
      <c r="W511" s="15">
        <f t="shared" si="396"/>
        <v>6320</v>
      </c>
      <c r="X511" s="15">
        <f t="shared" si="396"/>
        <v>56320</v>
      </c>
      <c r="Y511" s="15">
        <f t="shared" si="396"/>
        <v>6320</v>
      </c>
      <c r="Z511" s="15">
        <f t="shared" si="396"/>
        <v>0</v>
      </c>
      <c r="AA511" s="15">
        <f t="shared" si="396"/>
        <v>0</v>
      </c>
      <c r="AB511" s="15">
        <f t="shared" si="396"/>
        <v>0</v>
      </c>
      <c r="AC511" s="156">
        <f t="shared" si="396"/>
        <v>0</v>
      </c>
      <c r="AD511" s="156">
        <f t="shared" si="396"/>
        <v>2866078.6460000002</v>
      </c>
      <c r="AE511" s="83"/>
      <c r="AF511" s="83"/>
    </row>
    <row r="512" spans="1:182">
      <c r="A512" s="11"/>
      <c r="B512" s="10" t="s">
        <v>31</v>
      </c>
      <c r="C512" s="11"/>
      <c r="D512" s="11"/>
      <c r="E512" s="11"/>
      <c r="F512" s="12">
        <f>F518+F524+F530+F536+F542+F548+F554+F560+F566+F568+F574+F580+F586</f>
        <v>7473875.8070299998</v>
      </c>
      <c r="G512" s="12">
        <f t="shared" ref="G512:AD512" si="397">G518+G524+G530+G536+G542+G548+G554+G560+G566+G568+G574+G580+G586</f>
        <v>2529260.0620000004</v>
      </c>
      <c r="H512" s="12">
        <f t="shared" si="397"/>
        <v>2881629.4159999997</v>
      </c>
      <c r="I512" s="12">
        <f t="shared" si="397"/>
        <v>2276604.1610300005</v>
      </c>
      <c r="J512" s="12">
        <f t="shared" si="397"/>
        <v>352441.054</v>
      </c>
      <c r="K512" s="12">
        <f t="shared" si="397"/>
        <v>537576.21300000011</v>
      </c>
      <c r="L512" s="12">
        <f t="shared" si="397"/>
        <v>382567.44199999992</v>
      </c>
      <c r="M512" s="12">
        <f t="shared" si="397"/>
        <v>342046.91703000001</v>
      </c>
      <c r="N512" s="12">
        <f t="shared" si="397"/>
        <v>580733.598</v>
      </c>
      <c r="O512" s="12">
        <f t="shared" si="397"/>
        <v>433679.99099999998</v>
      </c>
      <c r="P512" s="135">
        <f>P518+P524+P530+P536+P542+P548+P554+P560+P566+P568+P574+P580+P586</f>
        <v>576772.28799999994</v>
      </c>
      <c r="Q512" s="135">
        <f t="shared" si="397"/>
        <v>556527.54300000006</v>
      </c>
      <c r="R512" s="126">
        <f t="shared" si="397"/>
        <v>1182342.399</v>
      </c>
      <c r="S512" s="12">
        <f t="shared" si="397"/>
        <v>443319.86100000003</v>
      </c>
      <c r="T512" s="12">
        <f t="shared" si="397"/>
        <v>440321.10399999999</v>
      </c>
      <c r="U512" s="12">
        <f t="shared" si="397"/>
        <v>132368.38</v>
      </c>
      <c r="V512" s="12">
        <f t="shared" si="397"/>
        <v>97373.054000000004</v>
      </c>
      <c r="W512" s="12">
        <f t="shared" si="397"/>
        <v>6320</v>
      </c>
      <c r="X512" s="12">
        <f t="shared" si="397"/>
        <v>56320</v>
      </c>
      <c r="Y512" s="12">
        <f t="shared" si="397"/>
        <v>6320</v>
      </c>
      <c r="Z512" s="12">
        <f t="shared" si="397"/>
        <v>0</v>
      </c>
      <c r="AA512" s="12">
        <f t="shared" si="397"/>
        <v>0</v>
      </c>
      <c r="AB512" s="12">
        <f t="shared" si="397"/>
        <v>0</v>
      </c>
      <c r="AC512" s="157">
        <f t="shared" si="397"/>
        <v>0</v>
      </c>
      <c r="AD512" s="157">
        <f t="shared" si="397"/>
        <v>2315642.2300000004</v>
      </c>
      <c r="AE512" s="83"/>
      <c r="AF512" s="83"/>
    </row>
    <row r="513" spans="1:33">
      <c r="A513" s="11"/>
      <c r="B513" s="10" t="s">
        <v>41</v>
      </c>
      <c r="C513" s="11"/>
      <c r="D513" s="11"/>
      <c r="E513" s="11"/>
      <c r="F513" s="12">
        <f>F519+F525+F531+F537+F543+F549+F555+F561+F569+F575+F581+F587</f>
        <v>1766638.1630000002</v>
      </c>
      <c r="G513" s="12">
        <f t="shared" ref="G513:AD516" si="398">G519+G525+G531+G537+G543+G549+G555+G561+G569+G575+G581+G587</f>
        <v>576774.40999999992</v>
      </c>
      <c r="H513" s="12">
        <f t="shared" si="398"/>
        <v>704663.4580000001</v>
      </c>
      <c r="I513" s="12">
        <f t="shared" si="398"/>
        <v>610293.25400000007</v>
      </c>
      <c r="J513" s="12">
        <f t="shared" si="398"/>
        <v>127889.04800000001</v>
      </c>
      <c r="K513" s="12">
        <f t="shared" si="398"/>
        <v>133124.421</v>
      </c>
      <c r="L513" s="12">
        <f t="shared" si="398"/>
        <v>93345.167000000001</v>
      </c>
      <c r="M513" s="12">
        <f t="shared" si="398"/>
        <v>99174.389999999985</v>
      </c>
      <c r="N513" s="12">
        <f t="shared" si="398"/>
        <v>163495.69999999998</v>
      </c>
      <c r="O513" s="12">
        <f t="shared" si="398"/>
        <v>121153.57600000002</v>
      </c>
      <c r="P513" s="135">
        <f>P519+P525+P531+P537+P543+P549+P555+P561+P569+P575+P581+P587</f>
        <v>124791.14499999997</v>
      </c>
      <c r="Q513" s="135">
        <f t="shared" si="398"/>
        <v>94398.06700000001</v>
      </c>
      <c r="R513" s="126">
        <f t="shared" si="398"/>
        <v>232492.239</v>
      </c>
      <c r="S513" s="12">
        <f t="shared" si="398"/>
        <v>116426.95600000001</v>
      </c>
      <c r="T513" s="12">
        <f t="shared" si="398"/>
        <v>62045.286999999997</v>
      </c>
      <c r="U513" s="12">
        <f t="shared" si="398"/>
        <v>33339.85</v>
      </c>
      <c r="V513" s="12">
        <f t="shared" si="398"/>
        <v>20680.146000000001</v>
      </c>
      <c r="W513" s="12">
        <f t="shared" si="398"/>
        <v>0</v>
      </c>
      <c r="X513" s="12">
        <f t="shared" si="398"/>
        <v>0</v>
      </c>
      <c r="Y513" s="12">
        <f t="shared" si="398"/>
        <v>0</v>
      </c>
      <c r="Z513" s="12">
        <f t="shared" si="398"/>
        <v>0</v>
      </c>
      <c r="AA513" s="12">
        <f t="shared" si="398"/>
        <v>0</v>
      </c>
      <c r="AB513" s="12">
        <f t="shared" si="398"/>
        <v>0</v>
      </c>
      <c r="AC513" s="157">
        <f t="shared" si="398"/>
        <v>0</v>
      </c>
      <c r="AD513" s="157">
        <f t="shared" si="398"/>
        <v>451681.451</v>
      </c>
      <c r="AE513" s="83"/>
      <c r="AF513" s="83"/>
    </row>
    <row r="514" spans="1:33">
      <c r="A514" s="11"/>
      <c r="B514" s="10" t="s">
        <v>89</v>
      </c>
      <c r="C514" s="11"/>
      <c r="D514" s="11"/>
      <c r="E514" s="11"/>
      <c r="F514" s="12">
        <f>F520+F526+F532+F538+F544+F550+F556+F562+F570+F576+F582+F588</f>
        <v>33126.962</v>
      </c>
      <c r="G514" s="12">
        <f t="shared" si="398"/>
        <v>5050.22</v>
      </c>
      <c r="H514" s="12">
        <f t="shared" si="398"/>
        <v>5050.22</v>
      </c>
      <c r="I514" s="12">
        <f t="shared" si="398"/>
        <v>28076.741999999998</v>
      </c>
      <c r="J514" s="12">
        <f t="shared" si="398"/>
        <v>0</v>
      </c>
      <c r="K514" s="12">
        <f t="shared" si="398"/>
        <v>7000</v>
      </c>
      <c r="L514" s="12">
        <f t="shared" si="398"/>
        <v>13091</v>
      </c>
      <c r="M514" s="12">
        <f t="shared" si="398"/>
        <v>7681.0720000000001</v>
      </c>
      <c r="N514" s="12">
        <f t="shared" si="398"/>
        <v>195.75</v>
      </c>
      <c r="O514" s="12">
        <f t="shared" si="398"/>
        <v>108.92</v>
      </c>
      <c r="P514" s="12">
        <f t="shared" si="398"/>
        <v>0</v>
      </c>
      <c r="Q514" s="12">
        <f t="shared" si="398"/>
        <v>0</v>
      </c>
      <c r="R514" s="126">
        <f t="shared" si="398"/>
        <v>0</v>
      </c>
      <c r="S514" s="12">
        <f t="shared" si="398"/>
        <v>0</v>
      </c>
      <c r="T514" s="12">
        <f t="shared" si="398"/>
        <v>0</v>
      </c>
      <c r="U514" s="12">
        <f t="shared" si="398"/>
        <v>0</v>
      </c>
      <c r="V514" s="12">
        <f t="shared" si="398"/>
        <v>0</v>
      </c>
      <c r="W514" s="12">
        <f t="shared" si="398"/>
        <v>0</v>
      </c>
      <c r="X514" s="12">
        <f t="shared" si="398"/>
        <v>0</v>
      </c>
      <c r="Y514" s="12">
        <f t="shared" si="398"/>
        <v>0</v>
      </c>
      <c r="Z514" s="12">
        <f t="shared" si="398"/>
        <v>0</v>
      </c>
      <c r="AA514" s="12">
        <f t="shared" si="398"/>
        <v>0</v>
      </c>
      <c r="AB514" s="12">
        <f t="shared" si="398"/>
        <v>0</v>
      </c>
      <c r="AC514" s="157">
        <f t="shared" si="398"/>
        <v>0</v>
      </c>
      <c r="AD514" s="157">
        <f t="shared" si="398"/>
        <v>0</v>
      </c>
      <c r="AE514" s="83"/>
      <c r="AF514" s="83"/>
    </row>
    <row r="515" spans="1:33">
      <c r="A515" s="11"/>
      <c r="B515" s="10" t="s">
        <v>120</v>
      </c>
      <c r="C515" s="11"/>
      <c r="D515" s="11"/>
      <c r="E515" s="11"/>
      <c r="F515" s="12">
        <f>F521+F527+F533+F539+F545+F551+F557+F563+F571+F577+F583+F589</f>
        <v>67185.641999999993</v>
      </c>
      <c r="G515" s="12">
        <f t="shared" si="398"/>
        <v>11071</v>
      </c>
      <c r="H515" s="12">
        <f t="shared" si="398"/>
        <v>14702.351000000001</v>
      </c>
      <c r="I515" s="12">
        <f t="shared" si="398"/>
        <v>52483.290999999997</v>
      </c>
      <c r="J515" s="12">
        <f t="shared" si="398"/>
        <v>3631.3510000000001</v>
      </c>
      <c r="K515" s="12">
        <f t="shared" si="398"/>
        <v>20669.572</v>
      </c>
      <c r="L515" s="12">
        <f t="shared" si="398"/>
        <v>15820.778</v>
      </c>
      <c r="M515" s="12">
        <f t="shared" si="398"/>
        <v>11270.84</v>
      </c>
      <c r="N515" s="12">
        <f t="shared" si="398"/>
        <v>4722.1010000000006</v>
      </c>
      <c r="O515" s="12">
        <f t="shared" si="398"/>
        <v>0</v>
      </c>
      <c r="P515" s="12">
        <f t="shared" si="398"/>
        <v>0</v>
      </c>
      <c r="Q515" s="12">
        <f t="shared" si="398"/>
        <v>0</v>
      </c>
      <c r="R515" s="126">
        <f t="shared" si="398"/>
        <v>0</v>
      </c>
      <c r="S515" s="12">
        <f t="shared" si="398"/>
        <v>0</v>
      </c>
      <c r="T515" s="12">
        <f t="shared" si="398"/>
        <v>0</v>
      </c>
      <c r="U515" s="12">
        <f t="shared" si="398"/>
        <v>0</v>
      </c>
      <c r="V515" s="12">
        <f t="shared" si="398"/>
        <v>0</v>
      </c>
      <c r="W515" s="12">
        <f t="shared" si="398"/>
        <v>0</v>
      </c>
      <c r="X515" s="12">
        <f t="shared" si="398"/>
        <v>0</v>
      </c>
      <c r="Y515" s="12">
        <f t="shared" si="398"/>
        <v>0</v>
      </c>
      <c r="Z515" s="12">
        <f t="shared" si="398"/>
        <v>0</v>
      </c>
      <c r="AA515" s="12">
        <f t="shared" si="398"/>
        <v>0</v>
      </c>
      <c r="AB515" s="12">
        <f t="shared" si="398"/>
        <v>0</v>
      </c>
      <c r="AC515" s="157">
        <f t="shared" si="398"/>
        <v>0</v>
      </c>
      <c r="AD515" s="157">
        <f t="shared" si="398"/>
        <v>0</v>
      </c>
      <c r="AE515" s="83"/>
      <c r="AF515" s="83"/>
    </row>
    <row r="516" spans="1:33">
      <c r="A516" s="11"/>
      <c r="B516" s="10" t="s">
        <v>39</v>
      </c>
      <c r="C516" s="11"/>
      <c r="D516" s="11"/>
      <c r="E516" s="11"/>
      <c r="F516" s="12">
        <f>F522+F528+F534+F540+F546+F552+F558+F564+F572+F578+F584+F590</f>
        <v>1381590.044</v>
      </c>
      <c r="G516" s="12">
        <f t="shared" si="398"/>
        <v>1037115.923</v>
      </c>
      <c r="H516" s="12">
        <f t="shared" si="398"/>
        <v>1174096.2050000001</v>
      </c>
      <c r="I516" s="12">
        <f t="shared" si="398"/>
        <v>108738.87399999998</v>
      </c>
      <c r="J516" s="12">
        <f t="shared" si="398"/>
        <v>128949.53200000001</v>
      </c>
      <c r="K516" s="12">
        <f t="shared" si="398"/>
        <v>51030.086000000003</v>
      </c>
      <c r="L516" s="12">
        <f t="shared" si="398"/>
        <v>21777.05</v>
      </c>
      <c r="M516" s="12">
        <f t="shared" si="398"/>
        <v>9364.2690000000002</v>
      </c>
      <c r="N516" s="12">
        <f t="shared" si="398"/>
        <v>13443.951999999999</v>
      </c>
      <c r="O516" s="12">
        <f t="shared" si="398"/>
        <v>13123.517</v>
      </c>
      <c r="P516" s="12">
        <f t="shared" si="398"/>
        <v>34637.294000000002</v>
      </c>
      <c r="Q516" s="12">
        <f t="shared" si="398"/>
        <v>19000.362000000001</v>
      </c>
      <c r="R516" s="126">
        <f t="shared" si="398"/>
        <v>45117.308999999994</v>
      </c>
      <c r="S516" s="12">
        <f t="shared" si="398"/>
        <v>29831.175999999999</v>
      </c>
      <c r="T516" s="12">
        <f t="shared" si="398"/>
        <v>15286.133</v>
      </c>
      <c r="U516" s="12">
        <f t="shared" si="398"/>
        <v>0</v>
      </c>
      <c r="V516" s="12">
        <f t="shared" si="398"/>
        <v>0</v>
      </c>
      <c r="W516" s="12">
        <f t="shared" si="398"/>
        <v>0</v>
      </c>
      <c r="X516" s="12">
        <f t="shared" si="398"/>
        <v>0</v>
      </c>
      <c r="Y516" s="12">
        <f t="shared" si="398"/>
        <v>0</v>
      </c>
      <c r="Z516" s="12">
        <f t="shared" si="398"/>
        <v>0</v>
      </c>
      <c r="AA516" s="12">
        <f t="shared" si="398"/>
        <v>0</v>
      </c>
      <c r="AB516" s="12">
        <f t="shared" si="398"/>
        <v>0</v>
      </c>
      <c r="AC516" s="157">
        <f t="shared" si="398"/>
        <v>0</v>
      </c>
      <c r="AD516" s="157">
        <f t="shared" si="398"/>
        <v>98754.964999999997</v>
      </c>
      <c r="AE516" s="83"/>
      <c r="AF516" s="83"/>
    </row>
    <row r="517" spans="1:33">
      <c r="A517" s="13"/>
      <c r="B517" s="127" t="s">
        <v>292</v>
      </c>
      <c r="C517" s="13"/>
      <c r="D517" s="13"/>
      <c r="E517" s="13"/>
      <c r="F517" s="15">
        <f>F518+F519+F520+F521+F522</f>
        <v>4946587.8870000001</v>
      </c>
      <c r="G517" s="15">
        <f t="shared" ref="G517:AD517" si="399">G518+G519+G520+G521+G522</f>
        <v>1450350.7339999999</v>
      </c>
      <c r="H517" s="15">
        <f t="shared" si="399"/>
        <v>1629499.861</v>
      </c>
      <c r="I517" s="15">
        <f t="shared" si="399"/>
        <v>1249884.8060000001</v>
      </c>
      <c r="J517" s="15">
        <f t="shared" si="399"/>
        <v>171118.37700000001</v>
      </c>
      <c r="K517" s="15">
        <f t="shared" si="399"/>
        <v>335889.06600000005</v>
      </c>
      <c r="L517" s="15">
        <f t="shared" si="399"/>
        <v>189176.34199999995</v>
      </c>
      <c r="M517" s="15">
        <f t="shared" si="399"/>
        <v>187027.14799999999</v>
      </c>
      <c r="N517" s="15">
        <f t="shared" si="399"/>
        <v>287188.11500000005</v>
      </c>
      <c r="O517" s="15">
        <f t="shared" si="399"/>
        <v>250604.13500000001</v>
      </c>
      <c r="P517" s="15">
        <f t="shared" si="399"/>
        <v>487308.72099999996</v>
      </c>
      <c r="Q517" s="15">
        <f t="shared" si="399"/>
        <v>521679.48200000008</v>
      </c>
      <c r="R517" s="126">
        <f t="shared" si="399"/>
        <v>1058215.017</v>
      </c>
      <c r="S517" s="15">
        <f t="shared" si="399"/>
        <v>448991.06300000002</v>
      </c>
      <c r="T517" s="15">
        <f t="shared" si="399"/>
        <v>409572.52399999998</v>
      </c>
      <c r="U517" s="15">
        <f t="shared" si="399"/>
        <v>135238.23000000001</v>
      </c>
      <c r="V517" s="15">
        <f t="shared" si="399"/>
        <v>45453.2</v>
      </c>
      <c r="W517" s="15">
        <f t="shared" si="399"/>
        <v>6320</v>
      </c>
      <c r="X517" s="15">
        <f t="shared" si="399"/>
        <v>6320</v>
      </c>
      <c r="Y517" s="15">
        <f t="shared" si="399"/>
        <v>6320</v>
      </c>
      <c r="Z517" s="15">
        <f t="shared" si="399"/>
        <v>0</v>
      </c>
      <c r="AA517" s="15">
        <f t="shared" si="399"/>
        <v>0</v>
      </c>
      <c r="AB517" s="15">
        <f t="shared" si="399"/>
        <v>0</v>
      </c>
      <c r="AC517" s="156">
        <f t="shared" si="399"/>
        <v>0</v>
      </c>
      <c r="AD517" s="156">
        <f t="shared" si="399"/>
        <v>2067203.2200000002</v>
      </c>
      <c r="AE517" s="84"/>
      <c r="AF517" s="106"/>
      <c r="AG517" s="107"/>
    </row>
    <row r="518" spans="1:33">
      <c r="A518" s="11"/>
      <c r="B518" s="10" t="s">
        <v>31</v>
      </c>
      <c r="C518" s="11"/>
      <c r="D518" s="11"/>
      <c r="E518" s="11"/>
      <c r="F518" s="12">
        <f>F8+F11+F13+F16+F20+F23+F26+F29+F33+F36+F39+F42+F45+F48+F51+F54+F58+F61+F64+F66+F68+F72+F76+F80+F82+F86+F88+F91+F95+F99+F102+F105+F109+F113+F115+F118+F122+F126+F133+F130</f>
        <v>3182335.6850000005</v>
      </c>
      <c r="G518" s="12">
        <f t="shared" ref="G518:AD518" si="400">G8+G11+G13+G16+G20+G23+G26+G29+G33+G36+G39+G42+G45+G48+G51+G54+G58+G61+G64+G66+G68+G72+G76+G80+G82+G86+G88+G91+G95+G99+G102+G105+G109+G113+G115+G118+G122+G126+G133+G130</f>
        <v>827951.16200000001</v>
      </c>
      <c r="H518" s="12">
        <f t="shared" si="400"/>
        <v>936703.40600000008</v>
      </c>
      <c r="I518" s="12">
        <f>I8+I11+I13+I16+I20+I23+I26+I29+I33+I36+I39+I42+I45+I48+I51+I54+I58+I61+I64+I66+I68+I72+I76+I80+I82+I86+I88+I91+I95+I99+I102+I105+I109+I113+I115+I118+I122+I126+I133+I130</f>
        <v>708545.81900000025</v>
      </c>
      <c r="J518" s="12">
        <f t="shared" si="400"/>
        <v>108752.24400000001</v>
      </c>
      <c r="K518" s="12">
        <f t="shared" si="400"/>
        <v>181452.31800000003</v>
      </c>
      <c r="L518" s="12">
        <f t="shared" si="400"/>
        <v>98320.831999999966</v>
      </c>
      <c r="M518" s="12">
        <f t="shared" si="400"/>
        <v>100754.598</v>
      </c>
      <c r="N518" s="12">
        <f t="shared" si="400"/>
        <v>162750.82100000003</v>
      </c>
      <c r="O518" s="12">
        <f t="shared" si="400"/>
        <v>165267.24999999997</v>
      </c>
      <c r="P518" s="12">
        <f t="shared" si="400"/>
        <v>345165.95499999996</v>
      </c>
      <c r="Q518" s="12">
        <f>Q8+Q11+Q13+Q16+Q20+Q23+Q26+Q29+Q33+Q36+Q39+Q42+Q45+Q48+Q51+Q54+Q58+Q61+Q64+Q66+Q68+Q72+Q76+Q80+Q82+Q86+Q88+Q91+Q95+Q99+Q102+Q105+Q109+Q113+Q115+Q118+Q122+Q126+Q133+Q130</f>
        <v>411315.03600000002</v>
      </c>
      <c r="R518" s="12">
        <f t="shared" si="400"/>
        <v>780605.46900000004</v>
      </c>
      <c r="S518" s="12">
        <f t="shared" si="400"/>
        <v>302732.93100000004</v>
      </c>
      <c r="T518" s="12">
        <f t="shared" si="400"/>
        <v>332241.10399999999</v>
      </c>
      <c r="U518" s="12">
        <f t="shared" si="400"/>
        <v>101898.38</v>
      </c>
      <c r="V518" s="12">
        <f t="shared" si="400"/>
        <v>24773.054</v>
      </c>
      <c r="W518" s="12">
        <f t="shared" si="400"/>
        <v>6320</v>
      </c>
      <c r="X518" s="12">
        <f t="shared" si="400"/>
        <v>6320</v>
      </c>
      <c r="Y518" s="12">
        <f t="shared" si="400"/>
        <v>6320</v>
      </c>
      <c r="Z518" s="12">
        <f t="shared" si="400"/>
        <v>0</v>
      </c>
      <c r="AA518" s="12">
        <f t="shared" si="400"/>
        <v>0</v>
      </c>
      <c r="AB518" s="12">
        <f t="shared" si="400"/>
        <v>0</v>
      </c>
      <c r="AC518" s="157">
        <f t="shared" si="400"/>
        <v>0</v>
      </c>
      <c r="AD518" s="157">
        <f t="shared" si="400"/>
        <v>1537086.4600000002</v>
      </c>
      <c r="AE518" s="83"/>
      <c r="AF518" s="102"/>
      <c r="AG518" s="107"/>
    </row>
    <row r="519" spans="1:33">
      <c r="A519" s="11"/>
      <c r="B519" s="10" t="s">
        <v>41</v>
      </c>
      <c r="C519" s="11"/>
      <c r="D519" s="11"/>
      <c r="E519" s="11"/>
      <c r="F519" s="12">
        <f>F17+F21+F27+F30+F37+F43+F46+F55+F69+F92+F96+F100+F103+F106+F110+F119+F123+F127+F131</f>
        <v>1308138.405</v>
      </c>
      <c r="G519" s="12">
        <f t="shared" ref="G519:AD519" si="401">G17+G21+G27+G30+G37+G43+G46+G55+G69+G92+G96+G100+G103+G106+G110+G119+G123+G127+G131</f>
        <v>368837.64900000003</v>
      </c>
      <c r="H519" s="12">
        <f t="shared" si="401"/>
        <v>424969.6050000001</v>
      </c>
      <c r="I519" s="12">
        <f t="shared" si="401"/>
        <v>451807.005</v>
      </c>
      <c r="J519" s="12">
        <f t="shared" si="401"/>
        <v>56131.956000000006</v>
      </c>
      <c r="K519" s="12">
        <f t="shared" si="401"/>
        <v>97534.241999999998</v>
      </c>
      <c r="L519" s="12">
        <f t="shared" si="401"/>
        <v>81699.509999999995</v>
      </c>
      <c r="M519" s="12">
        <f t="shared" si="401"/>
        <v>79578.280999999988</v>
      </c>
      <c r="N519" s="12">
        <f t="shared" si="401"/>
        <v>115405.342</v>
      </c>
      <c r="O519" s="12">
        <f t="shared" si="401"/>
        <v>77589.630000000019</v>
      </c>
      <c r="P519" s="12">
        <f t="shared" si="401"/>
        <v>107505.47199999999</v>
      </c>
      <c r="Q519" s="12">
        <f t="shared" si="401"/>
        <v>91364.084000000017</v>
      </c>
      <c r="R519" s="12">
        <f t="shared" si="401"/>
        <v>232492.239</v>
      </c>
      <c r="S519" s="12">
        <f t="shared" si="401"/>
        <v>116426.95600000001</v>
      </c>
      <c r="T519" s="12">
        <f t="shared" si="401"/>
        <v>62045.286999999997</v>
      </c>
      <c r="U519" s="12">
        <f t="shared" si="401"/>
        <v>33339.85</v>
      </c>
      <c r="V519" s="12">
        <f t="shared" si="401"/>
        <v>20680.146000000001</v>
      </c>
      <c r="W519" s="12">
        <f t="shared" si="401"/>
        <v>0</v>
      </c>
      <c r="X519" s="12">
        <f t="shared" si="401"/>
        <v>0</v>
      </c>
      <c r="Y519" s="12">
        <f t="shared" si="401"/>
        <v>0</v>
      </c>
      <c r="Z519" s="12">
        <f t="shared" si="401"/>
        <v>0</v>
      </c>
      <c r="AA519" s="12">
        <f t="shared" si="401"/>
        <v>0</v>
      </c>
      <c r="AB519" s="12">
        <f t="shared" si="401"/>
        <v>0</v>
      </c>
      <c r="AC519" s="157">
        <f t="shared" si="401"/>
        <v>0</v>
      </c>
      <c r="AD519" s="157">
        <f t="shared" si="401"/>
        <v>431361.79499999993</v>
      </c>
      <c r="AE519" s="83"/>
      <c r="AF519" s="102"/>
      <c r="AG519" s="107"/>
    </row>
    <row r="520" spans="1:33">
      <c r="A520" s="11"/>
      <c r="B520" s="10" t="s">
        <v>89</v>
      </c>
      <c r="C520" s="11"/>
      <c r="D520" s="11"/>
      <c r="E520" s="11"/>
      <c r="F520" s="12">
        <f>F83</f>
        <v>3000</v>
      </c>
      <c r="G520" s="12">
        <f t="shared" ref="G520:AD520" si="402">G83</f>
        <v>0</v>
      </c>
      <c r="H520" s="12">
        <f t="shared" si="402"/>
        <v>0</v>
      </c>
      <c r="I520" s="12">
        <f t="shared" si="402"/>
        <v>3000</v>
      </c>
      <c r="J520" s="12">
        <f t="shared" si="402"/>
        <v>0</v>
      </c>
      <c r="K520" s="12">
        <f t="shared" si="402"/>
        <v>0</v>
      </c>
      <c r="L520" s="12">
        <f t="shared" si="402"/>
        <v>0</v>
      </c>
      <c r="M520" s="12">
        <f t="shared" si="402"/>
        <v>3000</v>
      </c>
      <c r="N520" s="12">
        <f t="shared" si="402"/>
        <v>0</v>
      </c>
      <c r="O520" s="12">
        <f t="shared" si="402"/>
        <v>0</v>
      </c>
      <c r="P520" s="12">
        <f t="shared" si="402"/>
        <v>0</v>
      </c>
      <c r="Q520" s="12">
        <f t="shared" si="402"/>
        <v>0</v>
      </c>
      <c r="R520" s="126">
        <f t="shared" si="402"/>
        <v>0</v>
      </c>
      <c r="S520" s="12">
        <f t="shared" si="402"/>
        <v>0</v>
      </c>
      <c r="T520" s="12">
        <f t="shared" si="402"/>
        <v>0</v>
      </c>
      <c r="U520" s="12">
        <f t="shared" si="402"/>
        <v>0</v>
      </c>
      <c r="V520" s="12">
        <f t="shared" si="402"/>
        <v>0</v>
      </c>
      <c r="W520" s="12">
        <f t="shared" si="402"/>
        <v>0</v>
      </c>
      <c r="X520" s="12">
        <f t="shared" si="402"/>
        <v>0</v>
      </c>
      <c r="Y520" s="12">
        <f t="shared" si="402"/>
        <v>0</v>
      </c>
      <c r="Z520" s="12">
        <f t="shared" si="402"/>
        <v>0</v>
      </c>
      <c r="AA520" s="12">
        <f t="shared" si="402"/>
        <v>0</v>
      </c>
      <c r="AB520" s="12">
        <f t="shared" si="402"/>
        <v>0</v>
      </c>
      <c r="AC520" s="157">
        <f t="shared" si="402"/>
        <v>0</v>
      </c>
      <c r="AD520" s="157">
        <f t="shared" si="402"/>
        <v>0</v>
      </c>
      <c r="AE520" s="83"/>
      <c r="AF520" s="102"/>
      <c r="AG520" s="107"/>
    </row>
    <row r="521" spans="1:33">
      <c r="A521" s="11"/>
      <c r="B521" s="10" t="s">
        <v>120</v>
      </c>
      <c r="C521" s="11"/>
      <c r="D521" s="11"/>
      <c r="E521" s="11"/>
      <c r="F521" s="12">
        <f>F74+F77</f>
        <v>10499.509</v>
      </c>
      <c r="G521" s="12">
        <f t="shared" ref="G521:AD521" si="403">G74+G77</f>
        <v>1711</v>
      </c>
      <c r="H521" s="12">
        <f t="shared" si="403"/>
        <v>1809.4</v>
      </c>
      <c r="I521" s="12">
        <f t="shared" si="403"/>
        <v>8690.1090000000004</v>
      </c>
      <c r="J521" s="12">
        <f t="shared" si="403"/>
        <v>98.4</v>
      </c>
      <c r="K521" s="12">
        <f t="shared" si="403"/>
        <v>8690.1090000000004</v>
      </c>
      <c r="L521" s="12">
        <f t="shared" si="403"/>
        <v>0</v>
      </c>
      <c r="M521" s="12">
        <f t="shared" si="403"/>
        <v>0</v>
      </c>
      <c r="N521" s="12">
        <f t="shared" si="403"/>
        <v>0</v>
      </c>
      <c r="O521" s="12">
        <f t="shared" si="403"/>
        <v>0</v>
      </c>
      <c r="P521" s="12">
        <f t="shared" si="403"/>
        <v>0</v>
      </c>
      <c r="Q521" s="12">
        <f t="shared" si="403"/>
        <v>0</v>
      </c>
      <c r="R521" s="126">
        <f t="shared" si="403"/>
        <v>0</v>
      </c>
      <c r="S521" s="12">
        <f t="shared" si="403"/>
        <v>0</v>
      </c>
      <c r="T521" s="12">
        <f t="shared" si="403"/>
        <v>0</v>
      </c>
      <c r="U521" s="12">
        <f t="shared" si="403"/>
        <v>0</v>
      </c>
      <c r="V521" s="12">
        <f t="shared" si="403"/>
        <v>0</v>
      </c>
      <c r="W521" s="12">
        <f t="shared" si="403"/>
        <v>0</v>
      </c>
      <c r="X521" s="12">
        <f t="shared" si="403"/>
        <v>0</v>
      </c>
      <c r="Y521" s="12">
        <f t="shared" si="403"/>
        <v>0</v>
      </c>
      <c r="Z521" s="12">
        <f t="shared" si="403"/>
        <v>0</v>
      </c>
      <c r="AA521" s="12">
        <f t="shared" si="403"/>
        <v>0</v>
      </c>
      <c r="AB521" s="12">
        <f t="shared" si="403"/>
        <v>0</v>
      </c>
      <c r="AC521" s="157">
        <f t="shared" si="403"/>
        <v>0</v>
      </c>
      <c r="AD521" s="157">
        <f t="shared" si="403"/>
        <v>0</v>
      </c>
      <c r="AE521" s="83"/>
      <c r="AF521" s="102"/>
      <c r="AG521" s="107"/>
    </row>
    <row r="522" spans="1:33">
      <c r="A522" s="11"/>
      <c r="B522" s="10" t="s">
        <v>39</v>
      </c>
      <c r="C522" s="11"/>
      <c r="D522" s="11"/>
      <c r="E522" s="11"/>
      <c r="F522" s="12">
        <f>F9+F18+F24+F31+F34+F40+F49+F52+F56+F59+F62+F70+F73+F78+F84+F89+F116+F120+F124+F128+F97+F93+F107+F111+F134</f>
        <v>442614.288</v>
      </c>
      <c r="G522" s="12">
        <f t="shared" ref="G522:AD522" si="404">G9+G18+G24+G31+G34+G40+G49+G52+G56+G59+G62+G70+G73+G78+G84+G89+G116+G120+G124+G128+G97+G93+G107+G111+G134</f>
        <v>251850.92299999998</v>
      </c>
      <c r="H522" s="12">
        <f t="shared" si="404"/>
        <v>266017.45</v>
      </c>
      <c r="I522" s="12">
        <f t="shared" si="404"/>
        <v>77841.872999999978</v>
      </c>
      <c r="J522" s="12">
        <f t="shared" si="404"/>
        <v>6135.777</v>
      </c>
      <c r="K522" s="12">
        <f t="shared" si="404"/>
        <v>48212.397000000004</v>
      </c>
      <c r="L522" s="12">
        <f t="shared" si="404"/>
        <v>9156</v>
      </c>
      <c r="M522" s="12">
        <f t="shared" si="404"/>
        <v>3694.2689999999998</v>
      </c>
      <c r="N522" s="12">
        <f t="shared" si="404"/>
        <v>9031.9519999999993</v>
      </c>
      <c r="O522" s="12">
        <f t="shared" si="404"/>
        <v>7747.2550000000001</v>
      </c>
      <c r="P522" s="12">
        <f t="shared" si="404"/>
        <v>34637.294000000002</v>
      </c>
      <c r="Q522" s="12">
        <f t="shared" si="404"/>
        <v>19000.362000000001</v>
      </c>
      <c r="R522" s="12">
        <f t="shared" si="404"/>
        <v>45117.308999999994</v>
      </c>
      <c r="S522" s="12">
        <f t="shared" si="404"/>
        <v>29831.175999999999</v>
      </c>
      <c r="T522" s="12">
        <f t="shared" si="404"/>
        <v>15286.133</v>
      </c>
      <c r="U522" s="12">
        <f t="shared" si="404"/>
        <v>0</v>
      </c>
      <c r="V522" s="12">
        <f t="shared" si="404"/>
        <v>0</v>
      </c>
      <c r="W522" s="12">
        <f t="shared" si="404"/>
        <v>0</v>
      </c>
      <c r="X522" s="12">
        <f t="shared" si="404"/>
        <v>0</v>
      </c>
      <c r="Y522" s="12">
        <f t="shared" si="404"/>
        <v>0</v>
      </c>
      <c r="Z522" s="12">
        <f t="shared" si="404"/>
        <v>0</v>
      </c>
      <c r="AA522" s="12">
        <f t="shared" si="404"/>
        <v>0</v>
      </c>
      <c r="AB522" s="12">
        <f t="shared" si="404"/>
        <v>0</v>
      </c>
      <c r="AC522" s="157">
        <f t="shared" si="404"/>
        <v>0</v>
      </c>
      <c r="AD522" s="157">
        <f t="shared" si="404"/>
        <v>98754.964999999997</v>
      </c>
      <c r="AE522" s="83"/>
      <c r="AF522" s="102"/>
      <c r="AG522" s="107"/>
    </row>
    <row r="523" spans="1:33">
      <c r="A523" s="13"/>
      <c r="B523" s="127" t="s">
        <v>293</v>
      </c>
      <c r="C523" s="13"/>
      <c r="D523" s="13"/>
      <c r="E523" s="13"/>
      <c r="F523" s="15">
        <f>F524+F525+F526+F527+F528</f>
        <v>1669911.8369999998</v>
      </c>
      <c r="G523" s="15">
        <f t="shared" ref="G523:AD523" si="405">G524+G525+G526+G527+G528</f>
        <v>940206.73900000006</v>
      </c>
      <c r="H523" s="15">
        <f t="shared" si="405"/>
        <v>1095481.5989999999</v>
      </c>
      <c r="I523" s="15">
        <f t="shared" si="405"/>
        <v>364434.58399999997</v>
      </c>
      <c r="J523" s="15">
        <f t="shared" si="405"/>
        <v>155274.86000000002</v>
      </c>
      <c r="K523" s="15">
        <f t="shared" si="405"/>
        <v>40669.101999999992</v>
      </c>
      <c r="L523" s="15">
        <f t="shared" si="405"/>
        <v>66804.576000000001</v>
      </c>
      <c r="M523" s="15">
        <f t="shared" si="405"/>
        <v>56588.346000000005</v>
      </c>
      <c r="N523" s="15">
        <f t="shared" si="405"/>
        <v>114086.29999999997</v>
      </c>
      <c r="O523" s="15">
        <f t="shared" si="405"/>
        <v>86286.26</v>
      </c>
      <c r="P523" s="15">
        <f t="shared" si="405"/>
        <v>77575.229000000007</v>
      </c>
      <c r="Q523" s="15">
        <f t="shared" si="405"/>
        <v>23310.424999999999</v>
      </c>
      <c r="R523" s="126">
        <f t="shared" si="405"/>
        <v>109110</v>
      </c>
      <c r="S523" s="15">
        <f t="shared" si="405"/>
        <v>14930</v>
      </c>
      <c r="T523" s="15">
        <f t="shared" si="405"/>
        <v>27080</v>
      </c>
      <c r="U523" s="15">
        <f t="shared" si="405"/>
        <v>17100</v>
      </c>
      <c r="V523" s="15">
        <f t="shared" si="405"/>
        <v>0</v>
      </c>
      <c r="W523" s="15">
        <f t="shared" si="405"/>
        <v>0</v>
      </c>
      <c r="X523" s="15">
        <f t="shared" si="405"/>
        <v>50000</v>
      </c>
      <c r="Y523" s="15">
        <f t="shared" si="405"/>
        <v>0</v>
      </c>
      <c r="Z523" s="15">
        <f t="shared" si="405"/>
        <v>0</v>
      </c>
      <c r="AA523" s="15">
        <f t="shared" si="405"/>
        <v>0</v>
      </c>
      <c r="AB523" s="15">
        <f t="shared" si="405"/>
        <v>0</v>
      </c>
      <c r="AC523" s="156">
        <f t="shared" si="405"/>
        <v>0</v>
      </c>
      <c r="AD523" s="156">
        <f t="shared" si="405"/>
        <v>209995.65399999995</v>
      </c>
      <c r="AE523" s="84"/>
      <c r="AF523" s="106"/>
      <c r="AG523" s="107"/>
    </row>
    <row r="524" spans="1:33">
      <c r="A524" s="11"/>
      <c r="B524" s="10" t="s">
        <v>31</v>
      </c>
      <c r="C524" s="11"/>
      <c r="D524" s="11"/>
      <c r="E524" s="11"/>
      <c r="F524" s="12">
        <f>F137+F140+F146+F149+F152+F155+F160+F166+F169+F172+F190+F194+F198+F200+F202+F204+F143+F175+F178+F181+F184+F187</f>
        <v>686448.99799999979</v>
      </c>
      <c r="G524" s="12">
        <f t="shared" ref="G524:AD524" si="406">G137+G140+G146+G149+G152+G155+G160+G166+G169+G172+G190+G194+G198+G200+G202+G204+G143+G175+G178+G181+G184+G187</f>
        <v>150946.514</v>
      </c>
      <c r="H524" s="12">
        <f t="shared" si="406"/>
        <v>182616.02600000001</v>
      </c>
      <c r="I524" s="12">
        <f t="shared" si="406"/>
        <v>301648.848</v>
      </c>
      <c r="J524" s="12">
        <f t="shared" si="406"/>
        <v>31669.511999999999</v>
      </c>
      <c r="K524" s="12">
        <f t="shared" si="406"/>
        <v>36642.841999999997</v>
      </c>
      <c r="L524" s="12">
        <f t="shared" si="406"/>
        <v>49316.248000000007</v>
      </c>
      <c r="M524" s="12">
        <f t="shared" si="406"/>
        <v>51895.792000000009</v>
      </c>
      <c r="N524" s="12">
        <f t="shared" si="406"/>
        <v>92169.231999999975</v>
      </c>
      <c r="O524" s="12">
        <f t="shared" si="406"/>
        <v>71624.733999999997</v>
      </c>
      <c r="P524" s="12">
        <f t="shared" si="406"/>
        <v>69763.699000000008</v>
      </c>
      <c r="Q524" s="12">
        <f t="shared" si="406"/>
        <v>23310.424999999999</v>
      </c>
      <c r="R524" s="12">
        <f t="shared" si="406"/>
        <v>109110</v>
      </c>
      <c r="S524" s="12">
        <f t="shared" si="406"/>
        <v>14930</v>
      </c>
      <c r="T524" s="12">
        <f t="shared" si="406"/>
        <v>27080</v>
      </c>
      <c r="U524" s="12">
        <f t="shared" si="406"/>
        <v>17100</v>
      </c>
      <c r="V524" s="12">
        <f t="shared" si="406"/>
        <v>0</v>
      </c>
      <c r="W524" s="12">
        <f t="shared" si="406"/>
        <v>0</v>
      </c>
      <c r="X524" s="12">
        <f t="shared" si="406"/>
        <v>50000</v>
      </c>
      <c r="Y524" s="12">
        <f t="shared" si="406"/>
        <v>0</v>
      </c>
      <c r="Z524" s="12">
        <f t="shared" si="406"/>
        <v>0</v>
      </c>
      <c r="AA524" s="12">
        <f t="shared" si="406"/>
        <v>0</v>
      </c>
      <c r="AB524" s="12">
        <f t="shared" si="406"/>
        <v>0</v>
      </c>
      <c r="AC524" s="157">
        <f t="shared" si="406"/>
        <v>0</v>
      </c>
      <c r="AD524" s="157">
        <f t="shared" si="406"/>
        <v>202184.12399999995</v>
      </c>
      <c r="AE524" s="83"/>
      <c r="AF524" s="102"/>
      <c r="AG524" s="107"/>
    </row>
    <row r="525" spans="1:33">
      <c r="A525" s="11"/>
      <c r="B525" s="10" t="s">
        <v>41</v>
      </c>
      <c r="C525" s="11"/>
      <c r="D525" s="11"/>
      <c r="E525" s="11"/>
      <c r="F525" s="12">
        <f>F161+F141+F173+F191+F195+F144+F147+F150+F153+F176+F179+F182+F185+F188</f>
        <v>71631.894</v>
      </c>
      <c r="G525" s="12">
        <f t="shared" ref="G525:AD525" si="407">G161+G141+G173+G191+G195+G144+G147+G150+G153+G176+G179+G182+G185+G188</f>
        <v>27153.224999999999</v>
      </c>
      <c r="H525" s="12">
        <f t="shared" si="407"/>
        <v>27944.817999999999</v>
      </c>
      <c r="I525" s="12">
        <f t="shared" si="407"/>
        <v>35875.546000000002</v>
      </c>
      <c r="J525" s="12">
        <f t="shared" si="407"/>
        <v>791.59299999999996</v>
      </c>
      <c r="K525" s="12">
        <f t="shared" si="407"/>
        <v>30.14</v>
      </c>
      <c r="L525" s="12">
        <f t="shared" si="407"/>
        <v>0</v>
      </c>
      <c r="M525" s="12">
        <f t="shared" si="407"/>
        <v>1471.482</v>
      </c>
      <c r="N525" s="12">
        <f t="shared" si="407"/>
        <v>19821.317999999999</v>
      </c>
      <c r="O525" s="12">
        <f t="shared" si="407"/>
        <v>14552.606</v>
      </c>
      <c r="P525" s="12">
        <f t="shared" si="407"/>
        <v>7811.53</v>
      </c>
      <c r="Q525" s="12">
        <f t="shared" si="407"/>
        <v>0</v>
      </c>
      <c r="R525" s="12">
        <f t="shared" si="407"/>
        <v>0</v>
      </c>
      <c r="S525" s="12">
        <f t="shared" si="407"/>
        <v>0</v>
      </c>
      <c r="T525" s="12">
        <f t="shared" si="407"/>
        <v>0</v>
      </c>
      <c r="U525" s="12">
        <f t="shared" si="407"/>
        <v>0</v>
      </c>
      <c r="V525" s="12">
        <f t="shared" si="407"/>
        <v>0</v>
      </c>
      <c r="W525" s="12">
        <f t="shared" si="407"/>
        <v>0</v>
      </c>
      <c r="X525" s="12">
        <f t="shared" si="407"/>
        <v>0</v>
      </c>
      <c r="Y525" s="12">
        <f t="shared" si="407"/>
        <v>0</v>
      </c>
      <c r="Z525" s="12">
        <f t="shared" si="407"/>
        <v>0</v>
      </c>
      <c r="AA525" s="12">
        <f t="shared" si="407"/>
        <v>0</v>
      </c>
      <c r="AB525" s="12">
        <f t="shared" si="407"/>
        <v>0</v>
      </c>
      <c r="AC525" s="157">
        <f t="shared" si="407"/>
        <v>0</v>
      </c>
      <c r="AD525" s="157">
        <f t="shared" si="407"/>
        <v>7811.53</v>
      </c>
      <c r="AE525" s="83"/>
      <c r="AF525" s="102"/>
      <c r="AG525" s="107"/>
    </row>
    <row r="526" spans="1:33">
      <c r="A526" s="11"/>
      <c r="B526" s="10" t="s">
        <v>89</v>
      </c>
      <c r="C526" s="11"/>
      <c r="D526" s="11"/>
      <c r="E526" s="11"/>
      <c r="F526" s="12">
        <f>F192</f>
        <v>335.74200000000002</v>
      </c>
      <c r="G526" s="12">
        <f t="shared" ref="G526:N526" si="408">G192</f>
        <v>0</v>
      </c>
      <c r="H526" s="12">
        <f t="shared" si="408"/>
        <v>0</v>
      </c>
      <c r="I526" s="12">
        <f t="shared" si="408"/>
        <v>335.74200000000002</v>
      </c>
      <c r="J526" s="12">
        <f t="shared" si="408"/>
        <v>0</v>
      </c>
      <c r="K526" s="12">
        <f t="shared" si="408"/>
        <v>0</v>
      </c>
      <c r="L526" s="12">
        <f t="shared" si="408"/>
        <v>0</v>
      </c>
      <c r="M526" s="12">
        <f t="shared" si="408"/>
        <v>31.071999999999999</v>
      </c>
      <c r="N526" s="12">
        <f t="shared" si="408"/>
        <v>195.75</v>
      </c>
      <c r="O526" s="12">
        <f>O192</f>
        <v>108.92</v>
      </c>
      <c r="P526" s="12">
        <f t="shared" ref="P526:AD526" si="409">P192</f>
        <v>0</v>
      </c>
      <c r="Q526" s="12">
        <f t="shared" si="409"/>
        <v>0</v>
      </c>
      <c r="R526" s="126">
        <f t="shared" si="409"/>
        <v>0</v>
      </c>
      <c r="S526" s="12">
        <f t="shared" si="409"/>
        <v>0</v>
      </c>
      <c r="T526" s="12">
        <f t="shared" si="409"/>
        <v>0</v>
      </c>
      <c r="U526" s="12">
        <f t="shared" si="409"/>
        <v>0</v>
      </c>
      <c r="V526" s="12">
        <f t="shared" si="409"/>
        <v>0</v>
      </c>
      <c r="W526" s="12">
        <f t="shared" si="409"/>
        <v>0</v>
      </c>
      <c r="X526" s="12">
        <f t="shared" si="409"/>
        <v>0</v>
      </c>
      <c r="Y526" s="12">
        <f t="shared" si="409"/>
        <v>0</v>
      </c>
      <c r="Z526" s="12">
        <f t="shared" si="409"/>
        <v>0</v>
      </c>
      <c r="AA526" s="12">
        <f t="shared" si="409"/>
        <v>0</v>
      </c>
      <c r="AB526" s="12">
        <f t="shared" si="409"/>
        <v>0</v>
      </c>
      <c r="AC526" s="157">
        <f t="shared" si="409"/>
        <v>0</v>
      </c>
      <c r="AD526" s="157">
        <f t="shared" si="409"/>
        <v>0</v>
      </c>
      <c r="AE526" s="83"/>
      <c r="AF526" s="102"/>
      <c r="AG526" s="107"/>
    </row>
    <row r="527" spans="1:33">
      <c r="A527" s="11"/>
      <c r="B527" s="10" t="s">
        <v>120</v>
      </c>
      <c r="C527" s="11"/>
      <c r="D527" s="11"/>
      <c r="E527" s="11"/>
      <c r="F527" s="12">
        <f>F162+F138</f>
        <v>7999.7089999999989</v>
      </c>
      <c r="G527" s="12">
        <f t="shared" ref="G527:AD527" si="410">G162+G138</f>
        <v>0</v>
      </c>
      <c r="H527" s="12">
        <f t="shared" si="410"/>
        <v>0</v>
      </c>
      <c r="I527" s="12">
        <f t="shared" si="410"/>
        <v>7999.7089999999989</v>
      </c>
      <c r="J527" s="12">
        <f t="shared" si="410"/>
        <v>0</v>
      </c>
      <c r="K527" s="12">
        <f t="shared" si="410"/>
        <v>2808.431</v>
      </c>
      <c r="L527" s="12">
        <f t="shared" si="410"/>
        <v>5191.2780000000002</v>
      </c>
      <c r="M527" s="12">
        <f t="shared" si="410"/>
        <v>0</v>
      </c>
      <c r="N527" s="12">
        <f t="shared" si="410"/>
        <v>0</v>
      </c>
      <c r="O527" s="12">
        <f t="shared" si="410"/>
        <v>0</v>
      </c>
      <c r="P527" s="12">
        <f t="shared" si="410"/>
        <v>0</v>
      </c>
      <c r="Q527" s="12">
        <f t="shared" si="410"/>
        <v>0</v>
      </c>
      <c r="R527" s="126">
        <f t="shared" si="410"/>
        <v>0</v>
      </c>
      <c r="S527" s="12">
        <f t="shared" si="410"/>
        <v>0</v>
      </c>
      <c r="T527" s="12">
        <f t="shared" si="410"/>
        <v>0</v>
      </c>
      <c r="U527" s="12">
        <f t="shared" si="410"/>
        <v>0</v>
      </c>
      <c r="V527" s="12">
        <f t="shared" si="410"/>
        <v>0</v>
      </c>
      <c r="W527" s="12">
        <f t="shared" si="410"/>
        <v>0</v>
      </c>
      <c r="X527" s="12">
        <f t="shared" si="410"/>
        <v>0</v>
      </c>
      <c r="Y527" s="12">
        <f t="shared" si="410"/>
        <v>0</v>
      </c>
      <c r="Z527" s="12">
        <f t="shared" si="410"/>
        <v>0</v>
      </c>
      <c r="AA527" s="12">
        <f t="shared" si="410"/>
        <v>0</v>
      </c>
      <c r="AB527" s="12">
        <f t="shared" si="410"/>
        <v>0</v>
      </c>
      <c r="AC527" s="157">
        <f t="shared" si="410"/>
        <v>0</v>
      </c>
      <c r="AD527" s="157">
        <f t="shared" si="410"/>
        <v>0</v>
      </c>
      <c r="AE527" s="83"/>
      <c r="AF527" s="102"/>
      <c r="AG527" s="107"/>
    </row>
    <row r="528" spans="1:33">
      <c r="A528" s="11"/>
      <c r="B528" s="10" t="s">
        <v>39</v>
      </c>
      <c r="C528" s="11"/>
      <c r="D528" s="11"/>
      <c r="E528" s="11"/>
      <c r="F528" s="12">
        <f>F156+F157+F158+F167+F170+F196</f>
        <v>903495.49399999995</v>
      </c>
      <c r="G528" s="12">
        <f t="shared" ref="G528:AD528" si="411">G156+G157+G158+G167+G170+G196</f>
        <v>762107</v>
      </c>
      <c r="H528" s="12">
        <f t="shared" si="411"/>
        <v>884920.755</v>
      </c>
      <c r="I528" s="12">
        <f t="shared" si="411"/>
        <v>18574.739000000001</v>
      </c>
      <c r="J528" s="12">
        <f t="shared" si="411"/>
        <v>122813.755</v>
      </c>
      <c r="K528" s="12">
        <f t="shared" si="411"/>
        <v>1187.6890000000001</v>
      </c>
      <c r="L528" s="12">
        <f t="shared" si="411"/>
        <v>12297.05</v>
      </c>
      <c r="M528" s="12">
        <f t="shared" si="411"/>
        <v>3190</v>
      </c>
      <c r="N528" s="12">
        <f t="shared" si="411"/>
        <v>1900</v>
      </c>
      <c r="O528" s="12">
        <f t="shared" si="411"/>
        <v>0</v>
      </c>
      <c r="P528" s="12">
        <f t="shared" si="411"/>
        <v>0</v>
      </c>
      <c r="Q528" s="12">
        <f t="shared" si="411"/>
        <v>0</v>
      </c>
      <c r="R528" s="126">
        <f t="shared" si="411"/>
        <v>0</v>
      </c>
      <c r="S528" s="12">
        <f t="shared" si="411"/>
        <v>0</v>
      </c>
      <c r="T528" s="12">
        <f t="shared" si="411"/>
        <v>0</v>
      </c>
      <c r="U528" s="12">
        <f t="shared" si="411"/>
        <v>0</v>
      </c>
      <c r="V528" s="12">
        <f t="shared" si="411"/>
        <v>0</v>
      </c>
      <c r="W528" s="12">
        <f t="shared" si="411"/>
        <v>0</v>
      </c>
      <c r="X528" s="12">
        <f t="shared" si="411"/>
        <v>0</v>
      </c>
      <c r="Y528" s="12">
        <f t="shared" si="411"/>
        <v>0</v>
      </c>
      <c r="Z528" s="12">
        <f t="shared" si="411"/>
        <v>0</v>
      </c>
      <c r="AA528" s="12">
        <f t="shared" si="411"/>
        <v>0</v>
      </c>
      <c r="AB528" s="12">
        <f t="shared" si="411"/>
        <v>0</v>
      </c>
      <c r="AC528" s="157">
        <f t="shared" si="411"/>
        <v>0</v>
      </c>
      <c r="AD528" s="157">
        <f t="shared" si="411"/>
        <v>0</v>
      </c>
      <c r="AE528" s="83"/>
      <c r="AF528" s="102"/>
      <c r="AG528" s="107"/>
    </row>
    <row r="529" spans="1:33">
      <c r="A529" s="13"/>
      <c r="B529" s="127" t="s">
        <v>294</v>
      </c>
      <c r="C529" s="13"/>
      <c r="D529" s="13"/>
      <c r="E529" s="13"/>
      <c r="F529" s="15">
        <f>F530+F531+F532+F533+F534</f>
        <v>129713.56500000002</v>
      </c>
      <c r="G529" s="15">
        <f t="shared" ref="G529:AD529" si="412">G530+G531+G532+G533+G534</f>
        <v>43501.398999999998</v>
      </c>
      <c r="H529" s="15">
        <f t="shared" si="412"/>
        <v>48089.237999999998</v>
      </c>
      <c r="I529" s="15">
        <f t="shared" si="412"/>
        <v>61320.009999999995</v>
      </c>
      <c r="J529" s="15">
        <f t="shared" si="412"/>
        <v>4587.8389999999999</v>
      </c>
      <c r="K529" s="15">
        <f t="shared" si="412"/>
        <v>6941.7979999999998</v>
      </c>
      <c r="L529" s="15">
        <f t="shared" si="412"/>
        <v>4232.9879999999994</v>
      </c>
      <c r="M529" s="15">
        <f t="shared" si="412"/>
        <v>22254.175000000003</v>
      </c>
      <c r="N529" s="15">
        <f t="shared" si="412"/>
        <v>12042.228000000001</v>
      </c>
      <c r="O529" s="15">
        <f t="shared" si="412"/>
        <v>15848.821</v>
      </c>
      <c r="P529" s="15">
        <f t="shared" si="412"/>
        <v>17254.316999999999</v>
      </c>
      <c r="Q529" s="15">
        <f t="shared" si="412"/>
        <v>950</v>
      </c>
      <c r="R529" s="126">
        <f t="shared" si="412"/>
        <v>2100</v>
      </c>
      <c r="S529" s="15">
        <f t="shared" si="412"/>
        <v>800</v>
      </c>
      <c r="T529" s="15">
        <f t="shared" si="412"/>
        <v>800</v>
      </c>
      <c r="U529" s="15">
        <f t="shared" si="412"/>
        <v>500</v>
      </c>
      <c r="V529" s="15">
        <f t="shared" si="412"/>
        <v>0</v>
      </c>
      <c r="W529" s="15">
        <f t="shared" si="412"/>
        <v>0</v>
      </c>
      <c r="X529" s="15">
        <f t="shared" si="412"/>
        <v>0</v>
      </c>
      <c r="Y529" s="15">
        <f t="shared" si="412"/>
        <v>0</v>
      </c>
      <c r="Z529" s="15">
        <f t="shared" si="412"/>
        <v>0</v>
      </c>
      <c r="AA529" s="15">
        <f t="shared" si="412"/>
        <v>0</v>
      </c>
      <c r="AB529" s="15">
        <f t="shared" si="412"/>
        <v>0</v>
      </c>
      <c r="AC529" s="156">
        <f t="shared" si="412"/>
        <v>0</v>
      </c>
      <c r="AD529" s="156">
        <f t="shared" si="412"/>
        <v>20304.317000000003</v>
      </c>
      <c r="AE529" s="84"/>
      <c r="AF529" s="106"/>
      <c r="AG529" s="107"/>
    </row>
    <row r="530" spans="1:33">
      <c r="A530" s="11"/>
      <c r="B530" s="10" t="s">
        <v>31</v>
      </c>
      <c r="C530" s="11"/>
      <c r="D530" s="11"/>
      <c r="E530" s="11"/>
      <c r="F530" s="12">
        <f>F207+F209+F211+F214+F217+F219</f>
        <v>114174.30300000001</v>
      </c>
      <c r="G530" s="12">
        <f t="shared" ref="G530:N530" si="413">G207+G209+G211+G214+G217+G219</f>
        <v>43000.398999999998</v>
      </c>
      <c r="H530" s="12">
        <f t="shared" si="413"/>
        <v>47588.237999999998</v>
      </c>
      <c r="I530" s="12">
        <f t="shared" si="413"/>
        <v>49060.877</v>
      </c>
      <c r="J530" s="12">
        <f t="shared" si="413"/>
        <v>4587.8389999999999</v>
      </c>
      <c r="K530" s="12">
        <f t="shared" si="413"/>
        <v>5491.7979999999998</v>
      </c>
      <c r="L530" s="12">
        <f t="shared" si="413"/>
        <v>4232.9879999999994</v>
      </c>
      <c r="M530" s="12">
        <f t="shared" si="413"/>
        <v>19954.175000000003</v>
      </c>
      <c r="N530" s="12">
        <f t="shared" si="413"/>
        <v>9530.228000000001</v>
      </c>
      <c r="O530" s="12">
        <f>O207+O209+O211+O214+O217+O219</f>
        <v>9851.6880000000001</v>
      </c>
      <c r="P530" s="12">
        <f t="shared" ref="P530:AD530" si="414">P207+P209+P211+P214+P217+P219</f>
        <v>14475.188</v>
      </c>
      <c r="Q530" s="12">
        <f t="shared" si="414"/>
        <v>950</v>
      </c>
      <c r="R530" s="126">
        <f t="shared" si="414"/>
        <v>2100</v>
      </c>
      <c r="S530" s="12">
        <f t="shared" si="414"/>
        <v>800</v>
      </c>
      <c r="T530" s="12">
        <f t="shared" si="414"/>
        <v>800</v>
      </c>
      <c r="U530" s="12">
        <f t="shared" si="414"/>
        <v>500</v>
      </c>
      <c r="V530" s="12">
        <f t="shared" si="414"/>
        <v>0</v>
      </c>
      <c r="W530" s="12">
        <f t="shared" si="414"/>
        <v>0</v>
      </c>
      <c r="X530" s="12">
        <f t="shared" si="414"/>
        <v>0</v>
      </c>
      <c r="Y530" s="12">
        <f t="shared" si="414"/>
        <v>0</v>
      </c>
      <c r="Z530" s="12">
        <f t="shared" si="414"/>
        <v>0</v>
      </c>
      <c r="AA530" s="12">
        <f t="shared" si="414"/>
        <v>0</v>
      </c>
      <c r="AB530" s="12">
        <f t="shared" si="414"/>
        <v>0</v>
      </c>
      <c r="AC530" s="157">
        <f t="shared" si="414"/>
        <v>0</v>
      </c>
      <c r="AD530" s="157">
        <f t="shared" si="414"/>
        <v>17525.188000000002</v>
      </c>
      <c r="AE530" s="83"/>
      <c r="AF530" s="102"/>
      <c r="AG530" s="107"/>
    </row>
    <row r="531" spans="1:33">
      <c r="A531" s="11"/>
      <c r="B531" s="10" t="s">
        <v>41</v>
      </c>
      <c r="C531" s="11"/>
      <c r="D531" s="11"/>
      <c r="E531" s="11"/>
      <c r="F531" s="12">
        <f>F215</f>
        <v>3400</v>
      </c>
      <c r="G531" s="12">
        <f t="shared" ref="G531:N531" si="415">G215</f>
        <v>0</v>
      </c>
      <c r="H531" s="12">
        <f t="shared" si="415"/>
        <v>0</v>
      </c>
      <c r="I531" s="12">
        <f t="shared" si="415"/>
        <v>620.87099999999998</v>
      </c>
      <c r="J531" s="12">
        <f t="shared" si="415"/>
        <v>0</v>
      </c>
      <c r="K531" s="12">
        <f t="shared" si="415"/>
        <v>0</v>
      </c>
      <c r="L531" s="12">
        <f t="shared" si="415"/>
        <v>0</v>
      </c>
      <c r="M531" s="12">
        <f t="shared" si="415"/>
        <v>0</v>
      </c>
      <c r="N531" s="12">
        <f t="shared" si="415"/>
        <v>0</v>
      </c>
      <c r="O531" s="12">
        <f>O215</f>
        <v>620.87099999999998</v>
      </c>
      <c r="P531" s="12">
        <f t="shared" ref="P531:AD531" si="416">P215</f>
        <v>2779.1289999999999</v>
      </c>
      <c r="Q531" s="12">
        <f t="shared" si="416"/>
        <v>0</v>
      </c>
      <c r="R531" s="126">
        <f t="shared" si="416"/>
        <v>0</v>
      </c>
      <c r="S531" s="12">
        <f t="shared" si="416"/>
        <v>0</v>
      </c>
      <c r="T531" s="12">
        <f t="shared" si="416"/>
        <v>0</v>
      </c>
      <c r="U531" s="12">
        <f t="shared" si="416"/>
        <v>0</v>
      </c>
      <c r="V531" s="12">
        <f t="shared" si="416"/>
        <v>0</v>
      </c>
      <c r="W531" s="12">
        <f t="shared" si="416"/>
        <v>0</v>
      </c>
      <c r="X531" s="12">
        <f t="shared" si="416"/>
        <v>0</v>
      </c>
      <c r="Y531" s="12">
        <f t="shared" si="416"/>
        <v>0</v>
      </c>
      <c r="Z531" s="12">
        <f t="shared" si="416"/>
        <v>0</v>
      </c>
      <c r="AA531" s="12">
        <f t="shared" si="416"/>
        <v>0</v>
      </c>
      <c r="AB531" s="12">
        <f t="shared" si="416"/>
        <v>0</v>
      </c>
      <c r="AC531" s="157">
        <f t="shared" si="416"/>
        <v>0</v>
      </c>
      <c r="AD531" s="157">
        <f t="shared" si="416"/>
        <v>2779.1289999999999</v>
      </c>
      <c r="AE531" s="83"/>
      <c r="AF531" s="102"/>
      <c r="AG531" s="107"/>
    </row>
    <row r="532" spans="1:33">
      <c r="A532" s="11"/>
      <c r="B532" s="10" t="s">
        <v>89</v>
      </c>
      <c r="C532" s="11"/>
      <c r="D532" s="11"/>
      <c r="E532" s="11"/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6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57">
        <v>0</v>
      </c>
      <c r="AD532" s="157">
        <v>0</v>
      </c>
      <c r="AE532" s="83"/>
      <c r="AF532" s="102"/>
      <c r="AG532" s="107"/>
    </row>
    <row r="533" spans="1:33">
      <c r="A533" s="11"/>
      <c r="B533" s="10" t="s">
        <v>120</v>
      </c>
      <c r="C533" s="11"/>
      <c r="D533" s="11"/>
      <c r="E533" s="11"/>
      <c r="F533" s="12">
        <v>0</v>
      </c>
      <c r="G533" s="12">
        <v>0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6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57">
        <v>0</v>
      </c>
      <c r="AD533" s="157">
        <v>0</v>
      </c>
      <c r="AE533" s="83"/>
      <c r="AF533" s="102"/>
      <c r="AG533" s="107"/>
    </row>
    <row r="534" spans="1:33">
      <c r="A534" s="11"/>
      <c r="B534" s="10" t="s">
        <v>39</v>
      </c>
      <c r="C534" s="11"/>
      <c r="D534" s="11"/>
      <c r="E534" s="11"/>
      <c r="F534" s="12">
        <f>F212</f>
        <v>12139.261999999999</v>
      </c>
      <c r="G534" s="12">
        <f t="shared" ref="G534:N534" si="417">G212</f>
        <v>501</v>
      </c>
      <c r="H534" s="12">
        <f t="shared" si="417"/>
        <v>501</v>
      </c>
      <c r="I534" s="12">
        <f t="shared" si="417"/>
        <v>11638.261999999999</v>
      </c>
      <c r="J534" s="12">
        <f t="shared" si="417"/>
        <v>0</v>
      </c>
      <c r="K534" s="12">
        <f t="shared" si="417"/>
        <v>1450</v>
      </c>
      <c r="L534" s="12">
        <f t="shared" si="417"/>
        <v>0</v>
      </c>
      <c r="M534" s="12">
        <f t="shared" si="417"/>
        <v>2300</v>
      </c>
      <c r="N534" s="12">
        <f t="shared" si="417"/>
        <v>2512</v>
      </c>
      <c r="O534" s="12">
        <f>O212</f>
        <v>5376.2619999999997</v>
      </c>
      <c r="P534" s="12">
        <f t="shared" ref="P534:AD534" si="418">P212</f>
        <v>0</v>
      </c>
      <c r="Q534" s="12">
        <f t="shared" si="418"/>
        <v>0</v>
      </c>
      <c r="R534" s="126">
        <f t="shared" si="418"/>
        <v>0</v>
      </c>
      <c r="S534" s="12">
        <f t="shared" si="418"/>
        <v>0</v>
      </c>
      <c r="T534" s="12">
        <f t="shared" si="418"/>
        <v>0</v>
      </c>
      <c r="U534" s="12">
        <f t="shared" si="418"/>
        <v>0</v>
      </c>
      <c r="V534" s="12">
        <f t="shared" si="418"/>
        <v>0</v>
      </c>
      <c r="W534" s="12">
        <f t="shared" si="418"/>
        <v>0</v>
      </c>
      <c r="X534" s="12">
        <f t="shared" si="418"/>
        <v>0</v>
      </c>
      <c r="Y534" s="12">
        <f t="shared" si="418"/>
        <v>0</v>
      </c>
      <c r="Z534" s="12">
        <f t="shared" si="418"/>
        <v>0</v>
      </c>
      <c r="AA534" s="12">
        <f t="shared" si="418"/>
        <v>0</v>
      </c>
      <c r="AB534" s="12">
        <f t="shared" si="418"/>
        <v>0</v>
      </c>
      <c r="AC534" s="157">
        <f t="shared" si="418"/>
        <v>0</v>
      </c>
      <c r="AD534" s="157">
        <f t="shared" si="418"/>
        <v>0</v>
      </c>
      <c r="AE534" s="83"/>
      <c r="AF534" s="102"/>
      <c r="AG534" s="107"/>
    </row>
    <row r="535" spans="1:33">
      <c r="A535" s="13"/>
      <c r="B535" s="127" t="s">
        <v>295</v>
      </c>
      <c r="C535" s="13"/>
      <c r="D535" s="13"/>
      <c r="E535" s="13"/>
      <c r="F535" s="15">
        <f>F536+F537+F538+F539+F540</f>
        <v>212711.99099999998</v>
      </c>
      <c r="G535" s="15">
        <f t="shared" ref="G535:AD535" si="419">G536+G537+G538+G539+G540</f>
        <v>90067.69</v>
      </c>
      <c r="H535" s="15">
        <f t="shared" si="419"/>
        <v>98974.713000000003</v>
      </c>
      <c r="I535" s="15">
        <f t="shared" si="419"/>
        <v>78820.891000000003</v>
      </c>
      <c r="J535" s="15">
        <f t="shared" si="419"/>
        <v>8907.023000000001</v>
      </c>
      <c r="K535" s="15">
        <f t="shared" si="419"/>
        <v>14099.717000000001</v>
      </c>
      <c r="L535" s="15">
        <f t="shared" si="419"/>
        <v>9263.4219999999987</v>
      </c>
      <c r="M535" s="15">
        <f t="shared" si="419"/>
        <v>14061.195000000002</v>
      </c>
      <c r="N535" s="15">
        <f t="shared" si="419"/>
        <v>32424.956999999995</v>
      </c>
      <c r="O535" s="15">
        <f t="shared" si="419"/>
        <v>8971.6</v>
      </c>
      <c r="P535" s="15">
        <f t="shared" si="419"/>
        <v>11716.387000000001</v>
      </c>
      <c r="Q535" s="15">
        <f t="shared" si="419"/>
        <v>8600</v>
      </c>
      <c r="R535" s="126">
        <f t="shared" si="419"/>
        <v>14600</v>
      </c>
      <c r="S535" s="15">
        <f t="shared" si="419"/>
        <v>8600</v>
      </c>
      <c r="T535" s="15">
        <f t="shared" si="419"/>
        <v>6000</v>
      </c>
      <c r="U535" s="15">
        <f t="shared" si="419"/>
        <v>0</v>
      </c>
      <c r="V535" s="15">
        <f t="shared" si="419"/>
        <v>0</v>
      </c>
      <c r="W535" s="15">
        <f t="shared" si="419"/>
        <v>0</v>
      </c>
      <c r="X535" s="15">
        <f t="shared" si="419"/>
        <v>0</v>
      </c>
      <c r="Y535" s="15">
        <f t="shared" si="419"/>
        <v>0</v>
      </c>
      <c r="Z535" s="15">
        <f t="shared" si="419"/>
        <v>0</v>
      </c>
      <c r="AA535" s="15">
        <f t="shared" si="419"/>
        <v>0</v>
      </c>
      <c r="AB535" s="15">
        <f t="shared" si="419"/>
        <v>0</v>
      </c>
      <c r="AC535" s="156">
        <f t="shared" si="419"/>
        <v>0</v>
      </c>
      <c r="AD535" s="156">
        <f t="shared" si="419"/>
        <v>34916.387000000002</v>
      </c>
      <c r="AE535" s="84"/>
      <c r="AF535" s="106"/>
      <c r="AG535" s="107"/>
    </row>
    <row r="536" spans="1:33">
      <c r="A536" s="11"/>
      <c r="B536" s="10" t="s">
        <v>31</v>
      </c>
      <c r="C536" s="11"/>
      <c r="D536" s="11"/>
      <c r="E536" s="11"/>
      <c r="F536" s="12">
        <f>F222+F224+F227+F231+F233+F236+F239+F242+F245+F248+F251+F254+F256+F258+F264+F262+F260</f>
        <v>198365.533</v>
      </c>
      <c r="G536" s="12">
        <f t="shared" ref="G536:V536" si="420">G222+G224+G227+G231+G233+G236+G239+G242+G245+G248+G251+G254+G256+G258+G264+G262+G260</f>
        <v>90067.69</v>
      </c>
      <c r="H536" s="12">
        <f t="shared" si="420"/>
        <v>98974.713000000003</v>
      </c>
      <c r="I536" s="12">
        <f t="shared" si="420"/>
        <v>64474.433000000005</v>
      </c>
      <c r="J536" s="12">
        <f t="shared" si="420"/>
        <v>8907.023000000001</v>
      </c>
      <c r="K536" s="12">
        <f t="shared" si="420"/>
        <v>13919.717000000001</v>
      </c>
      <c r="L536" s="12">
        <f t="shared" si="420"/>
        <v>8305.0829999999987</v>
      </c>
      <c r="M536" s="12">
        <f t="shared" si="420"/>
        <v>11043.919000000002</v>
      </c>
      <c r="N536" s="12">
        <f t="shared" si="420"/>
        <v>22234.113999999998</v>
      </c>
      <c r="O536" s="12">
        <f t="shared" si="420"/>
        <v>8971.6</v>
      </c>
      <c r="P536" s="12">
        <f t="shared" si="420"/>
        <v>11716.387000000001</v>
      </c>
      <c r="Q536" s="12">
        <f t="shared" si="420"/>
        <v>8600</v>
      </c>
      <c r="R536" s="12">
        <f t="shared" si="420"/>
        <v>14600</v>
      </c>
      <c r="S536" s="12">
        <f t="shared" si="420"/>
        <v>8600</v>
      </c>
      <c r="T536" s="12">
        <f t="shared" si="420"/>
        <v>6000</v>
      </c>
      <c r="U536" s="12">
        <f t="shared" si="420"/>
        <v>0</v>
      </c>
      <c r="V536" s="12">
        <f t="shared" si="420"/>
        <v>0</v>
      </c>
      <c r="W536" s="12">
        <f t="shared" ref="W536:AD536" si="421">W222+W224+W227+W231+W233+W236+W239+W242+W245+W248+W251+W254+W256+W258+W264+W262+W260</f>
        <v>0</v>
      </c>
      <c r="X536" s="12">
        <f t="shared" si="421"/>
        <v>0</v>
      </c>
      <c r="Y536" s="12">
        <f t="shared" si="421"/>
        <v>0</v>
      </c>
      <c r="Z536" s="12">
        <f t="shared" si="421"/>
        <v>0</v>
      </c>
      <c r="AA536" s="12">
        <f t="shared" si="421"/>
        <v>0</v>
      </c>
      <c r="AB536" s="12">
        <f t="shared" si="421"/>
        <v>0</v>
      </c>
      <c r="AC536" s="157">
        <f t="shared" si="421"/>
        <v>0</v>
      </c>
      <c r="AD536" s="157">
        <f t="shared" si="421"/>
        <v>34916.387000000002</v>
      </c>
      <c r="AE536" s="83"/>
      <c r="AF536" s="102"/>
      <c r="AG536" s="107"/>
    </row>
    <row r="537" spans="1:33">
      <c r="A537" s="11"/>
      <c r="B537" s="10" t="s">
        <v>41</v>
      </c>
      <c r="C537" s="11"/>
      <c r="D537" s="11"/>
      <c r="E537" s="11"/>
      <c r="F537" s="12">
        <f>F225+F228+F234+F237+F240+F243+F246+F249+F252</f>
        <v>13806.457999999999</v>
      </c>
      <c r="G537" s="12">
        <f t="shared" ref="G537:AD537" si="422">G225+G228+G234+G237+G240+G243+G246+G249+G252</f>
        <v>0</v>
      </c>
      <c r="H537" s="12">
        <f t="shared" si="422"/>
        <v>0</v>
      </c>
      <c r="I537" s="12">
        <f t="shared" si="422"/>
        <v>13806.457999999999</v>
      </c>
      <c r="J537" s="12">
        <f t="shared" si="422"/>
        <v>0</v>
      </c>
      <c r="K537" s="12">
        <f t="shared" si="422"/>
        <v>0</v>
      </c>
      <c r="L537" s="12">
        <f t="shared" si="422"/>
        <v>778.33900000000006</v>
      </c>
      <c r="M537" s="12">
        <f t="shared" si="422"/>
        <v>2837.2759999999998</v>
      </c>
      <c r="N537" s="12">
        <f t="shared" si="422"/>
        <v>10190.842999999999</v>
      </c>
      <c r="O537" s="12">
        <f>O225+O228+O234+O237+O240+O243+O246+O249+O252</f>
        <v>0</v>
      </c>
      <c r="P537" s="12">
        <f t="shared" si="422"/>
        <v>0</v>
      </c>
      <c r="Q537" s="12">
        <f t="shared" si="422"/>
        <v>0</v>
      </c>
      <c r="R537" s="126">
        <f t="shared" si="422"/>
        <v>0</v>
      </c>
      <c r="S537" s="12">
        <f t="shared" si="422"/>
        <v>0</v>
      </c>
      <c r="T537" s="12">
        <f t="shared" si="422"/>
        <v>0</v>
      </c>
      <c r="U537" s="12">
        <f t="shared" si="422"/>
        <v>0</v>
      </c>
      <c r="V537" s="12">
        <f t="shared" si="422"/>
        <v>0</v>
      </c>
      <c r="W537" s="12">
        <f t="shared" si="422"/>
        <v>0</v>
      </c>
      <c r="X537" s="12">
        <f t="shared" si="422"/>
        <v>0</v>
      </c>
      <c r="Y537" s="12">
        <f t="shared" si="422"/>
        <v>0</v>
      </c>
      <c r="Z537" s="12">
        <f t="shared" si="422"/>
        <v>0</v>
      </c>
      <c r="AA537" s="12">
        <f t="shared" si="422"/>
        <v>0</v>
      </c>
      <c r="AB537" s="12">
        <f t="shared" si="422"/>
        <v>0</v>
      </c>
      <c r="AC537" s="157">
        <f t="shared" si="422"/>
        <v>0</v>
      </c>
      <c r="AD537" s="157">
        <f t="shared" si="422"/>
        <v>0</v>
      </c>
      <c r="AE537" s="83"/>
      <c r="AF537" s="102"/>
      <c r="AG537" s="107"/>
    </row>
    <row r="538" spans="1:33">
      <c r="A538" s="11"/>
      <c r="B538" s="10" t="s">
        <v>89</v>
      </c>
      <c r="C538" s="11"/>
      <c r="D538" s="11"/>
      <c r="E538" s="11"/>
      <c r="F538" s="12">
        <v>0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6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57">
        <v>0</v>
      </c>
      <c r="AD538" s="157">
        <v>0</v>
      </c>
      <c r="AE538" s="83"/>
      <c r="AF538" s="102"/>
      <c r="AG538" s="107"/>
    </row>
    <row r="539" spans="1:33">
      <c r="A539" s="11"/>
      <c r="B539" s="10" t="s">
        <v>120</v>
      </c>
      <c r="C539" s="11"/>
      <c r="D539" s="11"/>
      <c r="E539" s="11"/>
      <c r="F539" s="12">
        <v>0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6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57">
        <v>0</v>
      </c>
      <c r="AD539" s="157">
        <v>0</v>
      </c>
      <c r="AE539" s="83"/>
      <c r="AF539" s="102"/>
      <c r="AG539" s="107"/>
    </row>
    <row r="540" spans="1:33">
      <c r="A540" s="11"/>
      <c r="B540" s="10" t="s">
        <v>39</v>
      </c>
      <c r="C540" s="11"/>
      <c r="D540" s="11"/>
      <c r="E540" s="11"/>
      <c r="F540" s="12">
        <f>F229</f>
        <v>540</v>
      </c>
      <c r="G540" s="12">
        <f t="shared" ref="G540:AD540" si="423">G229</f>
        <v>0</v>
      </c>
      <c r="H540" s="12">
        <f t="shared" si="423"/>
        <v>0</v>
      </c>
      <c r="I540" s="12">
        <f t="shared" si="423"/>
        <v>540</v>
      </c>
      <c r="J540" s="12">
        <f t="shared" si="423"/>
        <v>0</v>
      </c>
      <c r="K540" s="12">
        <f t="shared" si="423"/>
        <v>180</v>
      </c>
      <c r="L540" s="12">
        <f t="shared" si="423"/>
        <v>180</v>
      </c>
      <c r="M540" s="12">
        <f t="shared" si="423"/>
        <v>180</v>
      </c>
      <c r="N540" s="12">
        <f t="shared" si="423"/>
        <v>0</v>
      </c>
      <c r="O540" s="12">
        <f t="shared" si="423"/>
        <v>0</v>
      </c>
      <c r="P540" s="12">
        <f t="shared" si="423"/>
        <v>0</v>
      </c>
      <c r="Q540" s="12">
        <f t="shared" si="423"/>
        <v>0</v>
      </c>
      <c r="R540" s="126">
        <f t="shared" si="423"/>
        <v>0</v>
      </c>
      <c r="S540" s="12">
        <f t="shared" si="423"/>
        <v>0</v>
      </c>
      <c r="T540" s="12">
        <f t="shared" si="423"/>
        <v>0</v>
      </c>
      <c r="U540" s="12">
        <f t="shared" si="423"/>
        <v>0</v>
      </c>
      <c r="V540" s="12">
        <f t="shared" si="423"/>
        <v>0</v>
      </c>
      <c r="W540" s="12">
        <f t="shared" si="423"/>
        <v>0</v>
      </c>
      <c r="X540" s="12">
        <f t="shared" si="423"/>
        <v>0</v>
      </c>
      <c r="Y540" s="12">
        <f t="shared" si="423"/>
        <v>0</v>
      </c>
      <c r="Z540" s="12">
        <f t="shared" si="423"/>
        <v>0</v>
      </c>
      <c r="AA540" s="12">
        <f t="shared" si="423"/>
        <v>0</v>
      </c>
      <c r="AB540" s="12">
        <f t="shared" si="423"/>
        <v>0</v>
      </c>
      <c r="AC540" s="157">
        <f t="shared" si="423"/>
        <v>0</v>
      </c>
      <c r="AD540" s="157">
        <f t="shared" si="423"/>
        <v>0</v>
      </c>
      <c r="AE540" s="83"/>
      <c r="AF540" s="102"/>
      <c r="AG540" s="107"/>
    </row>
    <row r="541" spans="1:33">
      <c r="A541" s="13"/>
      <c r="B541" s="127" t="s">
        <v>296</v>
      </c>
      <c r="C541" s="13"/>
      <c r="D541" s="13"/>
      <c r="E541" s="13"/>
      <c r="F541" s="15">
        <f>F542+F543+F544+F545+F546</f>
        <v>32755.441999999999</v>
      </c>
      <c r="G541" s="15">
        <f t="shared" ref="G541:AD541" si="424">G542+G543+G544+G545+G546</f>
        <v>20964.238999999998</v>
      </c>
      <c r="H541" s="15">
        <f t="shared" si="424"/>
        <v>21894.238999999998</v>
      </c>
      <c r="I541" s="15">
        <f t="shared" si="424"/>
        <v>8161.2029999999995</v>
      </c>
      <c r="J541" s="15">
        <f t="shared" si="424"/>
        <v>930</v>
      </c>
      <c r="K541" s="15">
        <f t="shared" si="424"/>
        <v>2792.3649999999998</v>
      </c>
      <c r="L541" s="15">
        <f t="shared" si="424"/>
        <v>1231.6100000000001</v>
      </c>
      <c r="M541" s="15">
        <f t="shared" si="424"/>
        <v>1160</v>
      </c>
      <c r="N541" s="15">
        <f t="shared" si="424"/>
        <v>1061.5999999999999</v>
      </c>
      <c r="O541" s="15">
        <f t="shared" si="424"/>
        <v>1915.6279999999999</v>
      </c>
      <c r="P541" s="15">
        <f t="shared" si="424"/>
        <v>700</v>
      </c>
      <c r="Q541" s="15">
        <f t="shared" si="424"/>
        <v>500</v>
      </c>
      <c r="R541" s="126">
        <f t="shared" si="424"/>
        <v>1500</v>
      </c>
      <c r="S541" s="15">
        <f t="shared" si="424"/>
        <v>500</v>
      </c>
      <c r="T541" s="15">
        <f t="shared" si="424"/>
        <v>1000</v>
      </c>
      <c r="U541" s="15">
        <f t="shared" si="424"/>
        <v>0</v>
      </c>
      <c r="V541" s="15">
        <f t="shared" si="424"/>
        <v>0</v>
      </c>
      <c r="W541" s="15">
        <f t="shared" si="424"/>
        <v>0</v>
      </c>
      <c r="X541" s="15">
        <f t="shared" si="424"/>
        <v>0</v>
      </c>
      <c r="Y541" s="15">
        <f t="shared" si="424"/>
        <v>0</v>
      </c>
      <c r="Z541" s="15">
        <f t="shared" si="424"/>
        <v>0</v>
      </c>
      <c r="AA541" s="15">
        <f t="shared" si="424"/>
        <v>0</v>
      </c>
      <c r="AB541" s="15">
        <f t="shared" si="424"/>
        <v>0</v>
      </c>
      <c r="AC541" s="156">
        <f t="shared" si="424"/>
        <v>0</v>
      </c>
      <c r="AD541" s="156">
        <f t="shared" si="424"/>
        <v>2700</v>
      </c>
      <c r="AE541" s="84"/>
      <c r="AF541" s="106"/>
      <c r="AG541" s="107"/>
    </row>
    <row r="542" spans="1:33">
      <c r="A542" s="11"/>
      <c r="B542" s="10" t="s">
        <v>31</v>
      </c>
      <c r="C542" s="11"/>
      <c r="D542" s="11"/>
      <c r="E542" s="11"/>
      <c r="F542" s="12">
        <f>F267+F269+F272</f>
        <v>29355.441999999999</v>
      </c>
      <c r="G542" s="12">
        <f t="shared" ref="G542:N542" si="425">G267+G269+G272</f>
        <v>17564.238999999998</v>
      </c>
      <c r="H542" s="12">
        <f t="shared" si="425"/>
        <v>18494.238999999998</v>
      </c>
      <c r="I542" s="12">
        <f t="shared" si="425"/>
        <v>8161.2029999999995</v>
      </c>
      <c r="J542" s="12">
        <f t="shared" si="425"/>
        <v>930</v>
      </c>
      <c r="K542" s="12">
        <f t="shared" si="425"/>
        <v>2792.3649999999998</v>
      </c>
      <c r="L542" s="12">
        <f t="shared" si="425"/>
        <v>1231.6100000000001</v>
      </c>
      <c r="M542" s="12">
        <f t="shared" si="425"/>
        <v>1160</v>
      </c>
      <c r="N542" s="12">
        <f t="shared" si="425"/>
        <v>1061.5999999999999</v>
      </c>
      <c r="O542" s="12">
        <f>O267+O269+O272</f>
        <v>1915.6279999999999</v>
      </c>
      <c r="P542" s="12">
        <f t="shared" ref="P542:AD542" si="426">P267+P269+P272</f>
        <v>700</v>
      </c>
      <c r="Q542" s="12">
        <f t="shared" si="426"/>
        <v>500</v>
      </c>
      <c r="R542" s="126">
        <f t="shared" si="426"/>
        <v>1500</v>
      </c>
      <c r="S542" s="12">
        <f t="shared" si="426"/>
        <v>500</v>
      </c>
      <c r="T542" s="12">
        <f t="shared" si="426"/>
        <v>1000</v>
      </c>
      <c r="U542" s="12">
        <f t="shared" si="426"/>
        <v>0</v>
      </c>
      <c r="V542" s="12">
        <f t="shared" si="426"/>
        <v>0</v>
      </c>
      <c r="W542" s="12">
        <f t="shared" si="426"/>
        <v>0</v>
      </c>
      <c r="X542" s="12">
        <f t="shared" si="426"/>
        <v>0</v>
      </c>
      <c r="Y542" s="12">
        <f t="shared" si="426"/>
        <v>0</v>
      </c>
      <c r="Z542" s="12">
        <f t="shared" si="426"/>
        <v>0</v>
      </c>
      <c r="AA542" s="12">
        <f t="shared" si="426"/>
        <v>0</v>
      </c>
      <c r="AB542" s="12">
        <f t="shared" si="426"/>
        <v>0</v>
      </c>
      <c r="AC542" s="157">
        <f t="shared" si="426"/>
        <v>0</v>
      </c>
      <c r="AD542" s="157">
        <f t="shared" si="426"/>
        <v>2700</v>
      </c>
      <c r="AE542" s="83"/>
      <c r="AF542" s="102"/>
      <c r="AG542" s="107"/>
    </row>
    <row r="543" spans="1:33">
      <c r="A543" s="11"/>
      <c r="B543" s="10" t="s">
        <v>41</v>
      </c>
      <c r="C543" s="11"/>
      <c r="D543" s="11"/>
      <c r="E543" s="11"/>
      <c r="F543" s="12">
        <f>F270</f>
        <v>3400</v>
      </c>
      <c r="G543" s="12">
        <f t="shared" ref="G543:AD543" si="427">G270</f>
        <v>3400</v>
      </c>
      <c r="H543" s="12">
        <f t="shared" si="427"/>
        <v>3400</v>
      </c>
      <c r="I543" s="12">
        <f t="shared" si="427"/>
        <v>0</v>
      </c>
      <c r="J543" s="12">
        <f t="shared" si="427"/>
        <v>0</v>
      </c>
      <c r="K543" s="12">
        <f t="shared" si="427"/>
        <v>0</v>
      </c>
      <c r="L543" s="12">
        <f t="shared" si="427"/>
        <v>0</v>
      </c>
      <c r="M543" s="12">
        <f t="shared" si="427"/>
        <v>0</v>
      </c>
      <c r="N543" s="12">
        <f t="shared" si="427"/>
        <v>0</v>
      </c>
      <c r="O543" s="12">
        <f t="shared" si="427"/>
        <v>0</v>
      </c>
      <c r="P543" s="12">
        <f t="shared" si="427"/>
        <v>0</v>
      </c>
      <c r="Q543" s="12">
        <f t="shared" si="427"/>
        <v>0</v>
      </c>
      <c r="R543" s="126">
        <f t="shared" si="427"/>
        <v>0</v>
      </c>
      <c r="S543" s="12">
        <f t="shared" si="427"/>
        <v>0</v>
      </c>
      <c r="T543" s="12">
        <f t="shared" si="427"/>
        <v>0</v>
      </c>
      <c r="U543" s="12">
        <f t="shared" si="427"/>
        <v>0</v>
      </c>
      <c r="V543" s="12">
        <f t="shared" si="427"/>
        <v>0</v>
      </c>
      <c r="W543" s="12">
        <f t="shared" si="427"/>
        <v>0</v>
      </c>
      <c r="X543" s="12">
        <f t="shared" si="427"/>
        <v>0</v>
      </c>
      <c r="Y543" s="12">
        <f t="shared" si="427"/>
        <v>0</v>
      </c>
      <c r="Z543" s="12">
        <f t="shared" si="427"/>
        <v>0</v>
      </c>
      <c r="AA543" s="12">
        <f t="shared" si="427"/>
        <v>0</v>
      </c>
      <c r="AB543" s="12">
        <f t="shared" si="427"/>
        <v>0</v>
      </c>
      <c r="AC543" s="157">
        <f t="shared" si="427"/>
        <v>0</v>
      </c>
      <c r="AD543" s="157">
        <f t="shared" si="427"/>
        <v>0</v>
      </c>
      <c r="AE543" s="83"/>
      <c r="AF543" s="102"/>
      <c r="AG543" s="107"/>
    </row>
    <row r="544" spans="1:33">
      <c r="A544" s="11"/>
      <c r="B544" s="10" t="s">
        <v>89</v>
      </c>
      <c r="C544" s="11"/>
      <c r="D544" s="11"/>
      <c r="E544" s="11"/>
      <c r="F544" s="12">
        <v>0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6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57">
        <v>0</v>
      </c>
      <c r="AD544" s="157">
        <v>0</v>
      </c>
      <c r="AE544" s="83"/>
      <c r="AF544" s="102"/>
      <c r="AG544" s="107"/>
    </row>
    <row r="545" spans="1:33">
      <c r="A545" s="11"/>
      <c r="B545" s="10" t="s">
        <v>120</v>
      </c>
      <c r="C545" s="11"/>
      <c r="D545" s="11"/>
      <c r="E545" s="11"/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6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57">
        <v>0</v>
      </c>
      <c r="AD545" s="157">
        <v>0</v>
      </c>
      <c r="AE545" s="83"/>
      <c r="AF545" s="102"/>
      <c r="AG545" s="107"/>
    </row>
    <row r="546" spans="1:33">
      <c r="A546" s="11"/>
      <c r="B546" s="10" t="s">
        <v>39</v>
      </c>
      <c r="C546" s="11"/>
      <c r="D546" s="11"/>
      <c r="E546" s="11"/>
      <c r="F546" s="12">
        <v>0</v>
      </c>
      <c r="G546" s="12">
        <v>0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6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57">
        <v>0</v>
      </c>
      <c r="AD546" s="157">
        <v>0</v>
      </c>
      <c r="AE546" s="83"/>
      <c r="AF546" s="102"/>
      <c r="AG546" s="107"/>
    </row>
    <row r="547" spans="1:33">
      <c r="A547" s="13"/>
      <c r="B547" s="127" t="s">
        <v>297</v>
      </c>
      <c r="C547" s="13"/>
      <c r="D547" s="13"/>
      <c r="E547" s="13"/>
      <c r="F547" s="15">
        <f>F548+F549+F550+F551+F552</f>
        <v>1160738.946</v>
      </c>
      <c r="G547" s="15">
        <f t="shared" ref="G547:AD547" si="428">G548+G549+G550+G551+G552</f>
        <v>314524.99600000004</v>
      </c>
      <c r="H547" s="15">
        <f t="shared" si="428"/>
        <v>355426.74300000002</v>
      </c>
      <c r="I547" s="15">
        <f t="shared" si="428"/>
        <v>432508.60900000005</v>
      </c>
      <c r="J547" s="15">
        <f t="shared" si="428"/>
        <v>40901.747000000003</v>
      </c>
      <c r="K547" s="15">
        <f t="shared" si="428"/>
        <v>78663.293000000005</v>
      </c>
      <c r="L547" s="15">
        <f t="shared" si="428"/>
        <v>73371.437000000005</v>
      </c>
      <c r="M547" s="15">
        <f t="shared" si="428"/>
        <v>104682.84300000002</v>
      </c>
      <c r="N547" s="15">
        <f t="shared" si="428"/>
        <v>130086.186</v>
      </c>
      <c r="O547" s="15">
        <f t="shared" si="428"/>
        <v>45704.850000000006</v>
      </c>
      <c r="P547" s="15">
        <f t="shared" si="428"/>
        <v>61472.201999999997</v>
      </c>
      <c r="Q547" s="15">
        <f t="shared" si="428"/>
        <v>77603.391999999993</v>
      </c>
      <c r="R547" s="126">
        <f t="shared" si="428"/>
        <v>233728</v>
      </c>
      <c r="S547" s="15">
        <f t="shared" si="428"/>
        <v>87928</v>
      </c>
      <c r="T547" s="15">
        <f t="shared" si="428"/>
        <v>68200</v>
      </c>
      <c r="U547" s="15">
        <f t="shared" si="428"/>
        <v>5000</v>
      </c>
      <c r="V547" s="15">
        <f t="shared" si="428"/>
        <v>72600</v>
      </c>
      <c r="W547" s="15">
        <f t="shared" si="428"/>
        <v>0</v>
      </c>
      <c r="X547" s="15">
        <f t="shared" si="428"/>
        <v>0</v>
      </c>
      <c r="Y547" s="15">
        <f t="shared" si="428"/>
        <v>0</v>
      </c>
      <c r="Z547" s="15">
        <f t="shared" si="428"/>
        <v>0</v>
      </c>
      <c r="AA547" s="15">
        <f t="shared" si="428"/>
        <v>0</v>
      </c>
      <c r="AB547" s="15">
        <f t="shared" si="428"/>
        <v>0</v>
      </c>
      <c r="AC547" s="156">
        <f t="shared" si="428"/>
        <v>0</v>
      </c>
      <c r="AD547" s="156">
        <f t="shared" si="428"/>
        <v>372803.59400000004</v>
      </c>
      <c r="AE547" s="84"/>
      <c r="AF547" s="106"/>
      <c r="AG547" s="107"/>
    </row>
    <row r="548" spans="1:33">
      <c r="A548" s="11"/>
      <c r="B548" s="10" t="s">
        <v>31</v>
      </c>
      <c r="C548" s="11"/>
      <c r="D548" s="11"/>
      <c r="E548" s="11"/>
      <c r="F548" s="12">
        <f>F275+F277+F280+F283+F286+F289+F292+F295+F298+F301+F304+F307+F310+F312+F314+F317+F320+F326+F337+F335+F323+F329+F332</f>
        <v>1131214.351</v>
      </c>
      <c r="G548" s="12">
        <f t="shared" ref="G548:N548" si="429">G275+G277+G280+G283+G286+G289+G292+G295+G298+G301+G304+G307+G310+G312+G314+G317+G320+G326+G337+G335+G323+G329+G332</f>
        <v>313484.99600000004</v>
      </c>
      <c r="H548" s="12">
        <f t="shared" si="429"/>
        <v>354386.74300000002</v>
      </c>
      <c r="I548" s="12">
        <f>I275+I277+I280+I283+I286+I289+I292+I295+I298+I301+I304+I307+I310+I312+I314+I317+I320+I326+I337+I335+I323+I329+I332</f>
        <v>408845.99700000003</v>
      </c>
      <c r="J548" s="12">
        <f t="shared" si="429"/>
        <v>40901.747000000003</v>
      </c>
      <c r="K548" s="12">
        <f t="shared" si="429"/>
        <v>78663.293000000005</v>
      </c>
      <c r="L548" s="12">
        <f t="shared" si="429"/>
        <v>70208.277000000002</v>
      </c>
      <c r="M548" s="12">
        <f t="shared" si="429"/>
        <v>90171.919000000024</v>
      </c>
      <c r="N548" s="12">
        <f t="shared" si="429"/>
        <v>124654.86500000001</v>
      </c>
      <c r="O548" s="12">
        <f>O275+O277+O280+O283+O286+O289+O292+O295+O298+O301+O304+O307+O310+O312+O314+O317+O320+O326+O337+O335+O323+O329+O332</f>
        <v>45147.643000000004</v>
      </c>
      <c r="P548" s="12">
        <f t="shared" ref="P548:AD548" si="430">P275+P277+P280+P283+P286+P289+P292+P295+P298+P301+P304+P307+P310+P312+P314+P317+P320+P326+P337+P335+P323+P329+P332</f>
        <v>58342.051999999996</v>
      </c>
      <c r="Q548" s="12">
        <f t="shared" si="430"/>
        <v>75911.558999999994</v>
      </c>
      <c r="R548" s="126">
        <f t="shared" si="430"/>
        <v>233728</v>
      </c>
      <c r="S548" s="12">
        <f t="shared" si="430"/>
        <v>87928</v>
      </c>
      <c r="T548" s="12">
        <f t="shared" si="430"/>
        <v>68200</v>
      </c>
      <c r="U548" s="12">
        <f t="shared" si="430"/>
        <v>5000</v>
      </c>
      <c r="V548" s="12">
        <f t="shared" si="430"/>
        <v>72600</v>
      </c>
      <c r="W548" s="12">
        <f t="shared" si="430"/>
        <v>0</v>
      </c>
      <c r="X548" s="12">
        <f t="shared" si="430"/>
        <v>0</v>
      </c>
      <c r="Y548" s="12">
        <f t="shared" si="430"/>
        <v>0</v>
      </c>
      <c r="Z548" s="12">
        <f t="shared" si="430"/>
        <v>0</v>
      </c>
      <c r="AA548" s="12">
        <f t="shared" si="430"/>
        <v>0</v>
      </c>
      <c r="AB548" s="12">
        <f t="shared" si="430"/>
        <v>0</v>
      </c>
      <c r="AC548" s="157">
        <f t="shared" si="430"/>
        <v>0</v>
      </c>
      <c r="AD548" s="157">
        <f t="shared" si="430"/>
        <v>367981.61100000003</v>
      </c>
      <c r="AE548" s="83"/>
      <c r="AF548" s="102"/>
      <c r="AG548" s="107"/>
    </row>
    <row r="549" spans="1:33">
      <c r="A549" s="11"/>
      <c r="B549" s="10" t="s">
        <v>41</v>
      </c>
      <c r="C549" s="11"/>
      <c r="D549" s="11"/>
      <c r="E549" s="11"/>
      <c r="F549" s="12">
        <f>F278+F281+F284+F287+F290+F293+F299+F302+F305+F308+F315+F318+F321+F327+F324+F330+F333</f>
        <v>28484.594999999994</v>
      </c>
      <c r="G549" s="12">
        <f t="shared" ref="G549:N549" si="431">G278+G281+G284+G287+G290+G293+G299+G302+G305+G308+G315+G318+G321+G327+G324+G330+G333</f>
        <v>0</v>
      </c>
      <c r="H549" s="12">
        <f t="shared" si="431"/>
        <v>0</v>
      </c>
      <c r="I549" s="12">
        <f t="shared" si="431"/>
        <v>23662.611999999997</v>
      </c>
      <c r="J549" s="12">
        <f t="shared" si="431"/>
        <v>0</v>
      </c>
      <c r="K549" s="12">
        <f t="shared" si="431"/>
        <v>0</v>
      </c>
      <c r="L549" s="12">
        <f t="shared" si="431"/>
        <v>3163.1600000000003</v>
      </c>
      <c r="M549" s="12">
        <f t="shared" si="431"/>
        <v>14510.924000000001</v>
      </c>
      <c r="N549" s="12">
        <f t="shared" si="431"/>
        <v>5431.3209999999999</v>
      </c>
      <c r="O549" s="12">
        <f>O278+O281+O284+O287+O290+O293+O299+O302+O305+O308+O315+O318+O321+O327+O324+O330+O333</f>
        <v>557.20699999999999</v>
      </c>
      <c r="P549" s="12">
        <f t="shared" ref="P549:AD549" si="432">P278+P281+P284+P287+P290+P293+P299+P302+P305+P308+P315+P318+P321+P327+P324+P330+P333</f>
        <v>3130.15</v>
      </c>
      <c r="Q549" s="12">
        <f t="shared" si="432"/>
        <v>1691.8330000000001</v>
      </c>
      <c r="R549" s="126">
        <f t="shared" si="432"/>
        <v>0</v>
      </c>
      <c r="S549" s="12">
        <f t="shared" si="432"/>
        <v>0</v>
      </c>
      <c r="T549" s="12">
        <f t="shared" si="432"/>
        <v>0</v>
      </c>
      <c r="U549" s="12">
        <f t="shared" si="432"/>
        <v>0</v>
      </c>
      <c r="V549" s="12">
        <f t="shared" si="432"/>
        <v>0</v>
      </c>
      <c r="W549" s="12">
        <f t="shared" si="432"/>
        <v>0</v>
      </c>
      <c r="X549" s="12">
        <f t="shared" si="432"/>
        <v>0</v>
      </c>
      <c r="Y549" s="12">
        <f t="shared" si="432"/>
        <v>0</v>
      </c>
      <c r="Z549" s="12">
        <f t="shared" si="432"/>
        <v>0</v>
      </c>
      <c r="AA549" s="12">
        <f t="shared" si="432"/>
        <v>0</v>
      </c>
      <c r="AB549" s="12">
        <f t="shared" si="432"/>
        <v>0</v>
      </c>
      <c r="AC549" s="157">
        <f t="shared" si="432"/>
        <v>0</v>
      </c>
      <c r="AD549" s="157">
        <f t="shared" si="432"/>
        <v>4821.9830000000002</v>
      </c>
      <c r="AE549" s="83"/>
      <c r="AF549" s="102"/>
      <c r="AG549" s="107"/>
    </row>
    <row r="550" spans="1:33">
      <c r="A550" s="11"/>
      <c r="B550" s="10" t="s">
        <v>89</v>
      </c>
      <c r="C550" s="11"/>
      <c r="D550" s="11"/>
      <c r="E550" s="11"/>
      <c r="F550" s="12">
        <f>0</f>
        <v>0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6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57">
        <v>0</v>
      </c>
      <c r="AD550" s="157">
        <v>0</v>
      </c>
      <c r="AE550" s="83"/>
      <c r="AF550" s="102"/>
      <c r="AG550" s="107"/>
    </row>
    <row r="551" spans="1:33">
      <c r="A551" s="11"/>
      <c r="B551" s="10" t="s">
        <v>120</v>
      </c>
      <c r="C551" s="11"/>
      <c r="D551" s="11"/>
      <c r="E551" s="11"/>
      <c r="F551" s="12">
        <f>F296</f>
        <v>1040</v>
      </c>
      <c r="G551" s="12">
        <f t="shared" ref="G551:AD551" si="433">G296</f>
        <v>1040</v>
      </c>
      <c r="H551" s="12">
        <f t="shared" si="433"/>
        <v>1040</v>
      </c>
      <c r="I551" s="12">
        <f t="shared" si="433"/>
        <v>0</v>
      </c>
      <c r="J551" s="12">
        <f t="shared" si="433"/>
        <v>0</v>
      </c>
      <c r="K551" s="12">
        <f t="shared" si="433"/>
        <v>0</v>
      </c>
      <c r="L551" s="12">
        <f t="shared" si="433"/>
        <v>0</v>
      </c>
      <c r="M551" s="12">
        <f t="shared" si="433"/>
        <v>0</v>
      </c>
      <c r="N551" s="12">
        <f t="shared" si="433"/>
        <v>0</v>
      </c>
      <c r="O551" s="12">
        <f t="shared" si="433"/>
        <v>0</v>
      </c>
      <c r="P551" s="12">
        <f t="shared" si="433"/>
        <v>0</v>
      </c>
      <c r="Q551" s="12">
        <f t="shared" si="433"/>
        <v>0</v>
      </c>
      <c r="R551" s="126">
        <f t="shared" si="433"/>
        <v>0</v>
      </c>
      <c r="S551" s="12">
        <f t="shared" si="433"/>
        <v>0</v>
      </c>
      <c r="T551" s="12">
        <f t="shared" si="433"/>
        <v>0</v>
      </c>
      <c r="U551" s="12">
        <f t="shared" si="433"/>
        <v>0</v>
      </c>
      <c r="V551" s="12">
        <f t="shared" si="433"/>
        <v>0</v>
      </c>
      <c r="W551" s="12">
        <f t="shared" si="433"/>
        <v>0</v>
      </c>
      <c r="X551" s="12">
        <f t="shared" si="433"/>
        <v>0</v>
      </c>
      <c r="Y551" s="12">
        <f t="shared" si="433"/>
        <v>0</v>
      </c>
      <c r="Z551" s="12">
        <f t="shared" si="433"/>
        <v>0</v>
      </c>
      <c r="AA551" s="12">
        <f t="shared" si="433"/>
        <v>0</v>
      </c>
      <c r="AB551" s="12">
        <f t="shared" si="433"/>
        <v>0</v>
      </c>
      <c r="AC551" s="157">
        <f t="shared" si="433"/>
        <v>0</v>
      </c>
      <c r="AD551" s="157">
        <f t="shared" si="433"/>
        <v>0</v>
      </c>
      <c r="AE551" s="83"/>
      <c r="AF551" s="102"/>
      <c r="AG551" s="107"/>
    </row>
    <row r="552" spans="1:33">
      <c r="A552" s="11"/>
      <c r="B552" s="10" t="s">
        <v>39</v>
      </c>
      <c r="C552" s="11"/>
      <c r="D552" s="11"/>
      <c r="E552" s="11"/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6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57">
        <v>0</v>
      </c>
      <c r="AD552" s="157">
        <v>0</v>
      </c>
      <c r="AE552" s="83"/>
      <c r="AF552" s="102"/>
      <c r="AG552" s="107"/>
    </row>
    <row r="553" spans="1:33">
      <c r="A553" s="13"/>
      <c r="B553" s="127" t="s">
        <v>298</v>
      </c>
      <c r="C553" s="13"/>
      <c r="D553" s="13"/>
      <c r="E553" s="13"/>
      <c r="F553" s="15">
        <f>F554+F555+F556+F557+F558</f>
        <v>7353.97</v>
      </c>
      <c r="G553" s="15">
        <f t="shared" ref="G553:AD553" si="434">G554+G555+G556+G557+G558</f>
        <v>0</v>
      </c>
      <c r="H553" s="15">
        <f t="shared" si="434"/>
        <v>0</v>
      </c>
      <c r="I553" s="15">
        <f t="shared" si="434"/>
        <v>7083.97</v>
      </c>
      <c r="J553" s="15">
        <f t="shared" si="434"/>
        <v>0</v>
      </c>
      <c r="K553" s="15">
        <f t="shared" si="434"/>
        <v>2150</v>
      </c>
      <c r="L553" s="15">
        <f t="shared" si="434"/>
        <v>1180</v>
      </c>
      <c r="M553" s="15">
        <f t="shared" si="434"/>
        <v>500</v>
      </c>
      <c r="N553" s="15">
        <f t="shared" si="434"/>
        <v>2769.69</v>
      </c>
      <c r="O553" s="15">
        <f t="shared" si="434"/>
        <v>484.28</v>
      </c>
      <c r="P553" s="15">
        <f t="shared" si="434"/>
        <v>270</v>
      </c>
      <c r="Q553" s="15">
        <f t="shared" si="434"/>
        <v>0</v>
      </c>
      <c r="R553" s="126">
        <f t="shared" si="434"/>
        <v>0</v>
      </c>
      <c r="S553" s="15">
        <f t="shared" si="434"/>
        <v>0</v>
      </c>
      <c r="T553" s="15">
        <f t="shared" si="434"/>
        <v>0</v>
      </c>
      <c r="U553" s="15">
        <f t="shared" si="434"/>
        <v>0</v>
      </c>
      <c r="V553" s="15">
        <f t="shared" si="434"/>
        <v>0</v>
      </c>
      <c r="W553" s="15">
        <f t="shared" si="434"/>
        <v>0</v>
      </c>
      <c r="X553" s="15">
        <f t="shared" si="434"/>
        <v>0</v>
      </c>
      <c r="Y553" s="15">
        <f t="shared" si="434"/>
        <v>0</v>
      </c>
      <c r="Z553" s="15">
        <f t="shared" si="434"/>
        <v>0</v>
      </c>
      <c r="AA553" s="15">
        <f t="shared" si="434"/>
        <v>0</v>
      </c>
      <c r="AB553" s="15">
        <f t="shared" si="434"/>
        <v>0</v>
      </c>
      <c r="AC553" s="156">
        <f t="shared" si="434"/>
        <v>0</v>
      </c>
      <c r="AD553" s="156">
        <f t="shared" si="434"/>
        <v>270</v>
      </c>
      <c r="AE553" s="84"/>
      <c r="AF553" s="106"/>
      <c r="AG553" s="107"/>
    </row>
    <row r="554" spans="1:33">
      <c r="A554" s="11"/>
      <c r="B554" s="10" t="s">
        <v>31</v>
      </c>
      <c r="C554" s="11"/>
      <c r="D554" s="11"/>
      <c r="E554" s="11"/>
      <c r="F554" s="12">
        <f>F340+F342+F348+F344+F346</f>
        <v>7353.97</v>
      </c>
      <c r="G554" s="12">
        <f t="shared" ref="G554:N554" si="435">G340+G342+G348+G344+G346</f>
        <v>0</v>
      </c>
      <c r="H554" s="12">
        <f t="shared" si="435"/>
        <v>0</v>
      </c>
      <c r="I554" s="12">
        <f t="shared" si="435"/>
        <v>7083.97</v>
      </c>
      <c r="J554" s="12">
        <f t="shared" si="435"/>
        <v>0</v>
      </c>
      <c r="K554" s="12">
        <f t="shared" si="435"/>
        <v>2150</v>
      </c>
      <c r="L554" s="12">
        <f t="shared" si="435"/>
        <v>1180</v>
      </c>
      <c r="M554" s="12">
        <f t="shared" si="435"/>
        <v>500</v>
      </c>
      <c r="N554" s="12">
        <f t="shared" si="435"/>
        <v>2769.69</v>
      </c>
      <c r="O554" s="12">
        <f>O340+O342+O348+O344+O346</f>
        <v>484.28</v>
      </c>
      <c r="P554" s="12">
        <f t="shared" ref="P554:AD554" si="436">P340+P342+P348+P344+P346</f>
        <v>270</v>
      </c>
      <c r="Q554" s="12">
        <f t="shared" si="436"/>
        <v>0</v>
      </c>
      <c r="R554" s="126">
        <f t="shared" si="436"/>
        <v>0</v>
      </c>
      <c r="S554" s="12">
        <f t="shared" si="436"/>
        <v>0</v>
      </c>
      <c r="T554" s="12">
        <f t="shared" si="436"/>
        <v>0</v>
      </c>
      <c r="U554" s="12">
        <f t="shared" si="436"/>
        <v>0</v>
      </c>
      <c r="V554" s="12">
        <f t="shared" si="436"/>
        <v>0</v>
      </c>
      <c r="W554" s="12">
        <f t="shared" si="436"/>
        <v>0</v>
      </c>
      <c r="X554" s="12">
        <f t="shared" si="436"/>
        <v>0</v>
      </c>
      <c r="Y554" s="12">
        <f t="shared" si="436"/>
        <v>0</v>
      </c>
      <c r="Z554" s="12">
        <f t="shared" si="436"/>
        <v>0</v>
      </c>
      <c r="AA554" s="12">
        <f t="shared" si="436"/>
        <v>0</v>
      </c>
      <c r="AB554" s="12">
        <f t="shared" si="436"/>
        <v>0</v>
      </c>
      <c r="AC554" s="157">
        <f t="shared" si="436"/>
        <v>0</v>
      </c>
      <c r="AD554" s="157">
        <f t="shared" si="436"/>
        <v>270</v>
      </c>
      <c r="AE554" s="83"/>
      <c r="AF554" s="102"/>
      <c r="AG554" s="107"/>
    </row>
    <row r="555" spans="1:33">
      <c r="A555" s="11"/>
      <c r="B555" s="10" t="s">
        <v>41</v>
      </c>
      <c r="C555" s="11"/>
      <c r="D555" s="11"/>
      <c r="E555" s="11"/>
      <c r="F555" s="12">
        <v>0</v>
      </c>
      <c r="G555" s="12">
        <v>0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6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57">
        <v>0</v>
      </c>
      <c r="AD555" s="157">
        <v>0</v>
      </c>
      <c r="AE555" s="83"/>
      <c r="AF555" s="102"/>
      <c r="AG555" s="107"/>
    </row>
    <row r="556" spans="1:33">
      <c r="A556" s="11"/>
      <c r="B556" s="10" t="s">
        <v>89</v>
      </c>
      <c r="C556" s="11"/>
      <c r="D556" s="11"/>
      <c r="E556" s="11"/>
      <c r="F556" s="12">
        <v>0</v>
      </c>
      <c r="G556" s="12">
        <v>0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6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57">
        <v>0</v>
      </c>
      <c r="AD556" s="157">
        <v>0</v>
      </c>
      <c r="AE556" s="83"/>
      <c r="AF556" s="102"/>
      <c r="AG556" s="107"/>
    </row>
    <row r="557" spans="1:33">
      <c r="A557" s="11"/>
      <c r="B557" s="10" t="s">
        <v>120</v>
      </c>
      <c r="C557" s="11"/>
      <c r="D557" s="11"/>
      <c r="E557" s="11"/>
      <c r="F557" s="12">
        <v>0</v>
      </c>
      <c r="G557" s="12">
        <v>0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6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57">
        <v>0</v>
      </c>
      <c r="AD557" s="157">
        <v>0</v>
      </c>
      <c r="AE557" s="83"/>
      <c r="AF557" s="102"/>
      <c r="AG557" s="107"/>
    </row>
    <row r="558" spans="1:33">
      <c r="A558" s="11"/>
      <c r="B558" s="10" t="s">
        <v>39</v>
      </c>
      <c r="C558" s="11"/>
      <c r="D558" s="11"/>
      <c r="E558" s="11"/>
      <c r="F558" s="12">
        <v>0</v>
      </c>
      <c r="G558" s="12">
        <v>0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6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57">
        <v>0</v>
      </c>
      <c r="AD558" s="157">
        <v>0</v>
      </c>
      <c r="AE558" s="83"/>
      <c r="AF558" s="102"/>
      <c r="AG558" s="107"/>
    </row>
    <row r="559" spans="1:33">
      <c r="A559" s="13"/>
      <c r="B559" s="127" t="s">
        <v>299</v>
      </c>
      <c r="C559" s="13"/>
      <c r="D559" s="13"/>
      <c r="E559" s="13"/>
      <c r="F559" s="15">
        <f>F560+F561+F562+F563+F564</f>
        <v>89275.921999999991</v>
      </c>
      <c r="G559" s="15">
        <f t="shared" ref="G559:AD559" si="437">G560+G561+G562+G563+G564</f>
        <v>44773.906999999999</v>
      </c>
      <c r="H559" s="15">
        <f t="shared" si="437"/>
        <v>46322.481</v>
      </c>
      <c r="I559" s="15">
        <f t="shared" si="437"/>
        <v>31943.452000000005</v>
      </c>
      <c r="J559" s="15">
        <f t="shared" si="437"/>
        <v>1548.5740000000001</v>
      </c>
      <c r="K559" s="15">
        <f t="shared" si="437"/>
        <v>3084.5</v>
      </c>
      <c r="L559" s="15">
        <f t="shared" si="437"/>
        <v>3522.9939999999997</v>
      </c>
      <c r="M559" s="15">
        <f t="shared" si="437"/>
        <v>3270.096</v>
      </c>
      <c r="N559" s="15">
        <f t="shared" si="437"/>
        <v>10052.267</v>
      </c>
      <c r="O559" s="15">
        <f t="shared" si="437"/>
        <v>12013.595000000001</v>
      </c>
      <c r="P559" s="15">
        <f t="shared" si="437"/>
        <v>8530.4840000000004</v>
      </c>
      <c r="Q559" s="15">
        <f t="shared" si="437"/>
        <v>2479.5050000000001</v>
      </c>
      <c r="R559" s="126">
        <f t="shared" si="437"/>
        <v>0</v>
      </c>
      <c r="S559" s="15">
        <f t="shared" si="437"/>
        <v>0</v>
      </c>
      <c r="T559" s="15">
        <f t="shared" si="437"/>
        <v>0</v>
      </c>
      <c r="U559" s="15">
        <f t="shared" si="437"/>
        <v>0</v>
      </c>
      <c r="V559" s="15">
        <f t="shared" si="437"/>
        <v>0</v>
      </c>
      <c r="W559" s="15">
        <f t="shared" si="437"/>
        <v>0</v>
      </c>
      <c r="X559" s="15">
        <f t="shared" si="437"/>
        <v>0</v>
      </c>
      <c r="Y559" s="15">
        <f t="shared" si="437"/>
        <v>0</v>
      </c>
      <c r="Z559" s="15">
        <f t="shared" si="437"/>
        <v>0</v>
      </c>
      <c r="AA559" s="15">
        <f t="shared" si="437"/>
        <v>0</v>
      </c>
      <c r="AB559" s="15">
        <f t="shared" si="437"/>
        <v>0</v>
      </c>
      <c r="AC559" s="156">
        <f t="shared" si="437"/>
        <v>0</v>
      </c>
      <c r="AD559" s="156">
        <f t="shared" si="437"/>
        <v>11009.989</v>
      </c>
      <c r="AE559" s="84"/>
      <c r="AF559" s="106"/>
      <c r="AG559" s="107"/>
    </row>
    <row r="560" spans="1:33">
      <c r="A560" s="11"/>
      <c r="B560" s="10" t="s">
        <v>31</v>
      </c>
      <c r="C560" s="11"/>
      <c r="D560" s="11"/>
      <c r="E560" s="11"/>
      <c r="F560" s="12">
        <f>F351+F363+F365+F354+F357+F360</f>
        <v>71386.834999999992</v>
      </c>
      <c r="G560" s="12">
        <f t="shared" ref="G560:N560" si="438">G351+G363+G365+G354+G357+G360</f>
        <v>39723.686999999998</v>
      </c>
      <c r="H560" s="12">
        <f t="shared" si="438"/>
        <v>41272.260999999999</v>
      </c>
      <c r="I560" s="12">
        <f t="shared" si="438"/>
        <v>19106.164000000001</v>
      </c>
      <c r="J560" s="12">
        <f t="shared" si="438"/>
        <v>1548.5740000000001</v>
      </c>
      <c r="K560" s="12">
        <f t="shared" si="438"/>
        <v>3084.5</v>
      </c>
      <c r="L560" s="12">
        <f t="shared" si="438"/>
        <v>3522.9939999999997</v>
      </c>
      <c r="M560" s="12">
        <f t="shared" si="438"/>
        <v>3270.096</v>
      </c>
      <c r="N560" s="12">
        <f t="shared" si="438"/>
        <v>4594.2049999999999</v>
      </c>
      <c r="O560" s="12">
        <f>O351+O363+O365+O354+O357+O360</f>
        <v>4634.3689999999997</v>
      </c>
      <c r="P560" s="12">
        <f t="shared" ref="P560:AD560" si="439">P351+P363+P365+P354+P357+P360</f>
        <v>8528.9050000000007</v>
      </c>
      <c r="Q560" s="12">
        <f t="shared" si="439"/>
        <v>2479.5050000000001</v>
      </c>
      <c r="R560" s="126">
        <f t="shared" si="439"/>
        <v>0</v>
      </c>
      <c r="S560" s="12">
        <f t="shared" si="439"/>
        <v>0</v>
      </c>
      <c r="T560" s="12">
        <f t="shared" si="439"/>
        <v>0</v>
      </c>
      <c r="U560" s="12">
        <f t="shared" si="439"/>
        <v>0</v>
      </c>
      <c r="V560" s="12">
        <f t="shared" si="439"/>
        <v>0</v>
      </c>
      <c r="W560" s="12">
        <f t="shared" si="439"/>
        <v>0</v>
      </c>
      <c r="X560" s="12">
        <f t="shared" si="439"/>
        <v>0</v>
      </c>
      <c r="Y560" s="12">
        <f t="shared" si="439"/>
        <v>0</v>
      </c>
      <c r="Z560" s="12">
        <f t="shared" si="439"/>
        <v>0</v>
      </c>
      <c r="AA560" s="12">
        <f t="shared" si="439"/>
        <v>0</v>
      </c>
      <c r="AB560" s="12">
        <f t="shared" si="439"/>
        <v>0</v>
      </c>
      <c r="AC560" s="157">
        <f t="shared" si="439"/>
        <v>0</v>
      </c>
      <c r="AD560" s="157">
        <f t="shared" si="439"/>
        <v>11008.41</v>
      </c>
      <c r="AE560" s="83"/>
      <c r="AF560" s="102"/>
      <c r="AG560" s="107"/>
    </row>
    <row r="561" spans="1:33">
      <c r="A561" s="11"/>
      <c r="B561" s="10" t="s">
        <v>41</v>
      </c>
      <c r="C561" s="11"/>
      <c r="D561" s="11"/>
      <c r="E561" s="11"/>
      <c r="F561" s="12">
        <f>F355+F358+F361</f>
        <v>12838.867000000002</v>
      </c>
      <c r="G561" s="12">
        <f t="shared" ref="G561:N561" si="440">G355+G358+G361</f>
        <v>0</v>
      </c>
      <c r="H561" s="12">
        <f t="shared" si="440"/>
        <v>0</v>
      </c>
      <c r="I561" s="12">
        <f t="shared" si="440"/>
        <v>12837.288000000002</v>
      </c>
      <c r="J561" s="12">
        <f t="shared" si="440"/>
        <v>0</v>
      </c>
      <c r="K561" s="12">
        <f t="shared" si="440"/>
        <v>0</v>
      </c>
      <c r="L561" s="12">
        <f t="shared" si="440"/>
        <v>0</v>
      </c>
      <c r="M561" s="12">
        <f t="shared" si="440"/>
        <v>0</v>
      </c>
      <c r="N561" s="12">
        <f t="shared" si="440"/>
        <v>5458.0619999999999</v>
      </c>
      <c r="O561" s="12">
        <f>O355+O358+O361</f>
        <v>7379.2260000000006</v>
      </c>
      <c r="P561" s="12">
        <f t="shared" ref="P561:AD561" si="441">P355+P358+P361</f>
        <v>1.579</v>
      </c>
      <c r="Q561" s="12">
        <f t="shared" si="441"/>
        <v>0</v>
      </c>
      <c r="R561" s="126">
        <f t="shared" si="441"/>
        <v>0</v>
      </c>
      <c r="S561" s="12">
        <f t="shared" si="441"/>
        <v>0</v>
      </c>
      <c r="T561" s="12">
        <f t="shared" si="441"/>
        <v>0</v>
      </c>
      <c r="U561" s="12">
        <f t="shared" si="441"/>
        <v>0</v>
      </c>
      <c r="V561" s="12">
        <f t="shared" si="441"/>
        <v>0</v>
      </c>
      <c r="W561" s="12">
        <f t="shared" si="441"/>
        <v>0</v>
      </c>
      <c r="X561" s="12">
        <f t="shared" si="441"/>
        <v>0</v>
      </c>
      <c r="Y561" s="12">
        <f t="shared" si="441"/>
        <v>0</v>
      </c>
      <c r="Z561" s="12">
        <f t="shared" si="441"/>
        <v>0</v>
      </c>
      <c r="AA561" s="12">
        <f t="shared" si="441"/>
        <v>0</v>
      </c>
      <c r="AB561" s="12">
        <f t="shared" si="441"/>
        <v>0</v>
      </c>
      <c r="AC561" s="157">
        <f t="shared" si="441"/>
        <v>0</v>
      </c>
      <c r="AD561" s="157">
        <f t="shared" si="441"/>
        <v>1.579</v>
      </c>
      <c r="AE561" s="108"/>
      <c r="AF561" s="108"/>
      <c r="AG561" s="107"/>
    </row>
    <row r="562" spans="1:33">
      <c r="A562" s="11"/>
      <c r="B562" s="10" t="s">
        <v>89</v>
      </c>
      <c r="C562" s="11"/>
      <c r="D562" s="11"/>
      <c r="E562" s="11"/>
      <c r="F562" s="12">
        <f>F352</f>
        <v>5050.22</v>
      </c>
      <c r="G562" s="12">
        <f t="shared" ref="G562:AD562" si="442">G352</f>
        <v>5050.22</v>
      </c>
      <c r="H562" s="12">
        <f t="shared" si="442"/>
        <v>5050.22</v>
      </c>
      <c r="I562" s="12">
        <f t="shared" si="442"/>
        <v>0</v>
      </c>
      <c r="J562" s="12">
        <f t="shared" si="442"/>
        <v>0</v>
      </c>
      <c r="K562" s="12">
        <f t="shared" si="442"/>
        <v>0</v>
      </c>
      <c r="L562" s="12">
        <f t="shared" si="442"/>
        <v>0</v>
      </c>
      <c r="M562" s="12">
        <f t="shared" si="442"/>
        <v>0</v>
      </c>
      <c r="N562" s="12">
        <f t="shared" si="442"/>
        <v>0</v>
      </c>
      <c r="O562" s="12">
        <f t="shared" si="442"/>
        <v>0</v>
      </c>
      <c r="P562" s="12">
        <f t="shared" si="442"/>
        <v>0</v>
      </c>
      <c r="Q562" s="12">
        <f t="shared" si="442"/>
        <v>0</v>
      </c>
      <c r="R562" s="126">
        <f t="shared" si="442"/>
        <v>0</v>
      </c>
      <c r="S562" s="12">
        <f t="shared" si="442"/>
        <v>0</v>
      </c>
      <c r="T562" s="12">
        <f t="shared" si="442"/>
        <v>0</v>
      </c>
      <c r="U562" s="12">
        <f t="shared" si="442"/>
        <v>0</v>
      </c>
      <c r="V562" s="12">
        <f t="shared" si="442"/>
        <v>0</v>
      </c>
      <c r="W562" s="12">
        <f t="shared" si="442"/>
        <v>0</v>
      </c>
      <c r="X562" s="12">
        <f t="shared" si="442"/>
        <v>0</v>
      </c>
      <c r="Y562" s="12">
        <f t="shared" si="442"/>
        <v>0</v>
      </c>
      <c r="Z562" s="12">
        <f t="shared" si="442"/>
        <v>0</v>
      </c>
      <c r="AA562" s="12">
        <f t="shared" si="442"/>
        <v>0</v>
      </c>
      <c r="AB562" s="12">
        <f t="shared" si="442"/>
        <v>0</v>
      </c>
      <c r="AC562" s="157">
        <f t="shared" si="442"/>
        <v>0</v>
      </c>
      <c r="AD562" s="157">
        <f t="shared" si="442"/>
        <v>0</v>
      </c>
      <c r="AE562" s="83"/>
      <c r="AF562" s="102"/>
      <c r="AG562" s="107"/>
    </row>
    <row r="563" spans="1:33">
      <c r="A563" s="11"/>
      <c r="B563" s="10" t="s">
        <v>120</v>
      </c>
      <c r="C563" s="11"/>
      <c r="D563" s="11"/>
      <c r="E563" s="11"/>
      <c r="F563" s="12">
        <v>0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6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57">
        <v>0</v>
      </c>
      <c r="AD563" s="157">
        <v>0</v>
      </c>
      <c r="AE563" s="83"/>
      <c r="AF563" s="102"/>
      <c r="AG563" s="107"/>
    </row>
    <row r="564" spans="1:33">
      <c r="A564" s="11"/>
      <c r="B564" s="10" t="s">
        <v>39</v>
      </c>
      <c r="C564" s="11"/>
      <c r="D564" s="11"/>
      <c r="E564" s="11"/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6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57">
        <v>0</v>
      </c>
      <c r="AD564" s="157">
        <v>0</v>
      </c>
      <c r="AE564" s="83"/>
      <c r="AF564" s="102"/>
      <c r="AG564" s="107"/>
    </row>
    <row r="565" spans="1:33">
      <c r="A565" s="16"/>
      <c r="B565" s="17" t="s">
        <v>300</v>
      </c>
      <c r="C565" s="16"/>
      <c r="D565" s="16"/>
      <c r="E565" s="16"/>
      <c r="F565" s="18">
        <f>F566</f>
        <v>73974.053</v>
      </c>
      <c r="G565" s="18">
        <f t="shared" ref="G565:AD565" si="443">G566</f>
        <v>28364.203000000001</v>
      </c>
      <c r="H565" s="18">
        <f t="shared" si="443"/>
        <v>30139.203000000001</v>
      </c>
      <c r="I565" s="18">
        <f t="shared" si="443"/>
        <v>25754.85</v>
      </c>
      <c r="J565" s="18">
        <f t="shared" si="443"/>
        <v>1775</v>
      </c>
      <c r="K565" s="18">
        <f t="shared" si="443"/>
        <v>4098</v>
      </c>
      <c r="L565" s="18">
        <f t="shared" si="443"/>
        <v>4000</v>
      </c>
      <c r="M565" s="18">
        <f t="shared" si="443"/>
        <v>4616.49</v>
      </c>
      <c r="N565" s="18">
        <f t="shared" si="443"/>
        <v>389.61</v>
      </c>
      <c r="O565" s="18">
        <f t="shared" si="443"/>
        <v>12650.75</v>
      </c>
      <c r="P565" s="18">
        <f t="shared" si="443"/>
        <v>6345</v>
      </c>
      <c r="Q565" s="18">
        <f t="shared" si="443"/>
        <v>6445</v>
      </c>
      <c r="R565" s="126">
        <f t="shared" si="443"/>
        <v>5290</v>
      </c>
      <c r="S565" s="18">
        <f t="shared" si="443"/>
        <v>5290</v>
      </c>
      <c r="T565" s="18">
        <f t="shared" si="443"/>
        <v>0</v>
      </c>
      <c r="U565" s="18">
        <f t="shared" si="443"/>
        <v>0</v>
      </c>
      <c r="V565" s="18">
        <f t="shared" si="443"/>
        <v>0</v>
      </c>
      <c r="W565" s="18">
        <f t="shared" si="443"/>
        <v>0</v>
      </c>
      <c r="X565" s="18">
        <f t="shared" si="443"/>
        <v>0</v>
      </c>
      <c r="Y565" s="18">
        <f t="shared" si="443"/>
        <v>0</v>
      </c>
      <c r="Z565" s="18">
        <f t="shared" si="443"/>
        <v>0</v>
      </c>
      <c r="AA565" s="18">
        <f t="shared" si="443"/>
        <v>0</v>
      </c>
      <c r="AB565" s="18">
        <f t="shared" si="443"/>
        <v>0</v>
      </c>
      <c r="AC565" s="158">
        <f t="shared" si="443"/>
        <v>0</v>
      </c>
      <c r="AD565" s="158">
        <f t="shared" si="443"/>
        <v>18080</v>
      </c>
      <c r="AE565" s="84"/>
      <c r="AF565" s="106"/>
      <c r="AG565" s="107"/>
    </row>
    <row r="566" spans="1:33">
      <c r="A566" s="11"/>
      <c r="B566" s="10" t="s">
        <v>31</v>
      </c>
      <c r="C566" s="11"/>
      <c r="D566" s="11"/>
      <c r="E566" s="11"/>
      <c r="F566" s="12">
        <f>F368</f>
        <v>73974.053</v>
      </c>
      <c r="G566" s="12">
        <f t="shared" ref="G566:AD566" si="444">G368</f>
        <v>28364.203000000001</v>
      </c>
      <c r="H566" s="12">
        <f t="shared" si="444"/>
        <v>30139.203000000001</v>
      </c>
      <c r="I566" s="12">
        <f t="shared" si="444"/>
        <v>25754.85</v>
      </c>
      <c r="J566" s="12">
        <f t="shared" si="444"/>
        <v>1775</v>
      </c>
      <c r="K566" s="12">
        <f t="shared" si="444"/>
        <v>4098</v>
      </c>
      <c r="L566" s="12">
        <f t="shared" si="444"/>
        <v>4000</v>
      </c>
      <c r="M566" s="12">
        <f>M368</f>
        <v>4616.49</v>
      </c>
      <c r="N566" s="12">
        <f t="shared" si="444"/>
        <v>389.61</v>
      </c>
      <c r="O566" s="12">
        <f t="shared" si="444"/>
        <v>12650.75</v>
      </c>
      <c r="P566" s="12">
        <f t="shared" si="444"/>
        <v>6345</v>
      </c>
      <c r="Q566" s="12">
        <f t="shared" si="444"/>
        <v>6445</v>
      </c>
      <c r="R566" s="126">
        <f t="shared" si="444"/>
        <v>5290</v>
      </c>
      <c r="S566" s="12">
        <f t="shared" si="444"/>
        <v>5290</v>
      </c>
      <c r="T566" s="12">
        <f t="shared" si="444"/>
        <v>0</v>
      </c>
      <c r="U566" s="12">
        <f t="shared" si="444"/>
        <v>0</v>
      </c>
      <c r="V566" s="12">
        <f t="shared" si="444"/>
        <v>0</v>
      </c>
      <c r="W566" s="12">
        <f t="shared" si="444"/>
        <v>0</v>
      </c>
      <c r="X566" s="12">
        <f t="shared" si="444"/>
        <v>0</v>
      </c>
      <c r="Y566" s="12">
        <f t="shared" si="444"/>
        <v>0</v>
      </c>
      <c r="Z566" s="12">
        <f t="shared" si="444"/>
        <v>0</v>
      </c>
      <c r="AA566" s="12">
        <f t="shared" si="444"/>
        <v>0</v>
      </c>
      <c r="AB566" s="12">
        <f t="shared" si="444"/>
        <v>0</v>
      </c>
      <c r="AC566" s="157">
        <f t="shared" si="444"/>
        <v>0</v>
      </c>
      <c r="AD566" s="157">
        <f t="shared" si="444"/>
        <v>18080</v>
      </c>
      <c r="AE566" s="83"/>
      <c r="AF566" s="102"/>
      <c r="AG566" s="107"/>
    </row>
    <row r="567" spans="1:33">
      <c r="A567" s="13"/>
      <c r="B567" s="127" t="s">
        <v>301</v>
      </c>
      <c r="C567" s="13"/>
      <c r="D567" s="13"/>
      <c r="E567" s="13"/>
      <c r="F567" s="15">
        <f>F568+F569+F570+F571+F572</f>
        <v>38784.127999999997</v>
      </c>
      <c r="G567" s="15">
        <f t="shared" ref="G567:AD567" si="445">G568+G569+G570+G571+G572</f>
        <v>20984.920999999998</v>
      </c>
      <c r="H567" s="15">
        <f t="shared" si="445"/>
        <v>23353.026999999998</v>
      </c>
      <c r="I567" s="15">
        <f t="shared" si="445"/>
        <v>15431.100999999999</v>
      </c>
      <c r="J567" s="15">
        <f t="shared" si="445"/>
        <v>2368.1060000000002</v>
      </c>
      <c r="K567" s="15">
        <f t="shared" si="445"/>
        <v>2368.1060000000002</v>
      </c>
      <c r="L567" s="15">
        <f t="shared" si="445"/>
        <v>550</v>
      </c>
      <c r="M567" s="15">
        <f t="shared" si="445"/>
        <v>252.77600000000007</v>
      </c>
      <c r="N567" s="15">
        <f t="shared" si="445"/>
        <v>3823.808</v>
      </c>
      <c r="O567" s="15">
        <f t="shared" si="445"/>
        <v>8436.4110000000001</v>
      </c>
      <c r="P567" s="15">
        <f t="shared" si="445"/>
        <v>0</v>
      </c>
      <c r="Q567" s="15">
        <f t="shared" si="445"/>
        <v>0</v>
      </c>
      <c r="R567" s="126">
        <f t="shared" si="445"/>
        <v>0</v>
      </c>
      <c r="S567" s="15">
        <f t="shared" si="445"/>
        <v>0</v>
      </c>
      <c r="T567" s="15">
        <f t="shared" si="445"/>
        <v>0</v>
      </c>
      <c r="U567" s="15">
        <f t="shared" si="445"/>
        <v>0</v>
      </c>
      <c r="V567" s="15">
        <f t="shared" si="445"/>
        <v>0</v>
      </c>
      <c r="W567" s="15">
        <f t="shared" si="445"/>
        <v>0</v>
      </c>
      <c r="X567" s="15">
        <f t="shared" si="445"/>
        <v>0</v>
      </c>
      <c r="Y567" s="15">
        <f t="shared" si="445"/>
        <v>0</v>
      </c>
      <c r="Z567" s="15">
        <f t="shared" si="445"/>
        <v>0</v>
      </c>
      <c r="AA567" s="15">
        <f t="shared" si="445"/>
        <v>0</v>
      </c>
      <c r="AB567" s="15">
        <f t="shared" si="445"/>
        <v>0</v>
      </c>
      <c r="AC567" s="156">
        <f t="shared" si="445"/>
        <v>0</v>
      </c>
      <c r="AD567" s="156">
        <f t="shared" si="445"/>
        <v>0</v>
      </c>
      <c r="AE567" s="84"/>
      <c r="AF567" s="106"/>
      <c r="AG567" s="107"/>
    </row>
    <row r="568" spans="1:33">
      <c r="A568" s="11"/>
      <c r="B568" s="10" t="s">
        <v>31</v>
      </c>
      <c r="C568" s="11"/>
      <c r="D568" s="11"/>
      <c r="E568" s="11"/>
      <c r="F568" s="12">
        <f>F371+F375+F378+F381+F387+F373+F384</f>
        <v>33661.325999999994</v>
      </c>
      <c r="G568" s="12">
        <f t="shared" ref="G568:N568" si="446">G371+G375+G378+G381+G387+G373+G384</f>
        <v>20984.920999999998</v>
      </c>
      <c r="H568" s="12">
        <f t="shared" si="446"/>
        <v>23353.026999999998</v>
      </c>
      <c r="I568" s="12">
        <f t="shared" si="446"/>
        <v>10308.298999999999</v>
      </c>
      <c r="J568" s="12">
        <f t="shared" si="446"/>
        <v>2368.1060000000002</v>
      </c>
      <c r="K568" s="12">
        <f t="shared" si="446"/>
        <v>2368.1060000000002</v>
      </c>
      <c r="L568" s="12">
        <f t="shared" si="446"/>
        <v>550</v>
      </c>
      <c r="M568" s="12">
        <f t="shared" si="446"/>
        <v>237.90100000000001</v>
      </c>
      <c r="N568" s="12">
        <f t="shared" si="446"/>
        <v>2047.09</v>
      </c>
      <c r="O568" s="12">
        <f>O371+O375+O378+O381+O387+O373+O384</f>
        <v>5105.2020000000002</v>
      </c>
      <c r="P568" s="12">
        <f t="shared" ref="P568:AD568" si="447">P371+P375+P378+P381+P387+P373+P384</f>
        <v>0</v>
      </c>
      <c r="Q568" s="12">
        <f t="shared" si="447"/>
        <v>0</v>
      </c>
      <c r="R568" s="126">
        <f t="shared" si="447"/>
        <v>0</v>
      </c>
      <c r="S568" s="12">
        <f t="shared" si="447"/>
        <v>0</v>
      </c>
      <c r="T568" s="12">
        <f t="shared" si="447"/>
        <v>0</v>
      </c>
      <c r="U568" s="12">
        <f t="shared" si="447"/>
        <v>0</v>
      </c>
      <c r="V568" s="12">
        <f t="shared" si="447"/>
        <v>0</v>
      </c>
      <c r="W568" s="12">
        <f t="shared" si="447"/>
        <v>0</v>
      </c>
      <c r="X568" s="12">
        <f t="shared" si="447"/>
        <v>0</v>
      </c>
      <c r="Y568" s="12">
        <f t="shared" si="447"/>
        <v>0</v>
      </c>
      <c r="Z568" s="12">
        <f t="shared" si="447"/>
        <v>0</v>
      </c>
      <c r="AA568" s="12">
        <f t="shared" si="447"/>
        <v>0</v>
      </c>
      <c r="AB568" s="12">
        <f t="shared" si="447"/>
        <v>0</v>
      </c>
      <c r="AC568" s="157">
        <f t="shared" si="447"/>
        <v>0</v>
      </c>
      <c r="AD568" s="157">
        <f t="shared" si="447"/>
        <v>0</v>
      </c>
      <c r="AE568" s="83"/>
      <c r="AF568" s="102"/>
      <c r="AG568" s="107"/>
    </row>
    <row r="569" spans="1:33">
      <c r="A569" s="11"/>
      <c r="B569" s="10" t="s">
        <v>41</v>
      </c>
      <c r="C569" s="11"/>
      <c r="D569" s="11"/>
      <c r="E569" s="11"/>
      <c r="F569" s="12">
        <f>F376+F379+F382+F388+F385</f>
        <v>5122.8019999999997</v>
      </c>
      <c r="G569" s="12">
        <f t="shared" ref="G569:N569" si="448">G376+G379+G382+G388+G385</f>
        <v>0</v>
      </c>
      <c r="H569" s="12">
        <f t="shared" si="448"/>
        <v>0</v>
      </c>
      <c r="I569" s="12">
        <f t="shared" si="448"/>
        <v>5122.8019999999997</v>
      </c>
      <c r="J569" s="12">
        <f t="shared" si="448"/>
        <v>0</v>
      </c>
      <c r="K569" s="12">
        <f t="shared" si="448"/>
        <v>0</v>
      </c>
      <c r="L569" s="12">
        <f t="shared" si="448"/>
        <v>0</v>
      </c>
      <c r="M569" s="12">
        <f t="shared" si="448"/>
        <v>14.875000000000057</v>
      </c>
      <c r="N569" s="12">
        <f t="shared" si="448"/>
        <v>1776.7179999999998</v>
      </c>
      <c r="O569" s="12">
        <f>O376+O379+O382+O388+O385</f>
        <v>3331.2089999999998</v>
      </c>
      <c r="P569" s="12">
        <f t="shared" ref="P569:AD569" si="449">P376+P379+P382+P388+P385</f>
        <v>0</v>
      </c>
      <c r="Q569" s="12">
        <f t="shared" si="449"/>
        <v>0</v>
      </c>
      <c r="R569" s="126">
        <f t="shared" si="449"/>
        <v>0</v>
      </c>
      <c r="S569" s="12">
        <f t="shared" si="449"/>
        <v>0</v>
      </c>
      <c r="T569" s="12">
        <f t="shared" si="449"/>
        <v>0</v>
      </c>
      <c r="U569" s="12">
        <f t="shared" si="449"/>
        <v>0</v>
      </c>
      <c r="V569" s="12">
        <f t="shared" si="449"/>
        <v>0</v>
      </c>
      <c r="W569" s="12">
        <f t="shared" si="449"/>
        <v>0</v>
      </c>
      <c r="X569" s="12">
        <f t="shared" si="449"/>
        <v>0</v>
      </c>
      <c r="Y569" s="12">
        <f t="shared" si="449"/>
        <v>0</v>
      </c>
      <c r="Z569" s="12">
        <f t="shared" si="449"/>
        <v>0</v>
      </c>
      <c r="AA569" s="12">
        <f t="shared" si="449"/>
        <v>0</v>
      </c>
      <c r="AB569" s="12">
        <f t="shared" si="449"/>
        <v>0</v>
      </c>
      <c r="AC569" s="157">
        <f t="shared" si="449"/>
        <v>0</v>
      </c>
      <c r="AD569" s="157">
        <f t="shared" si="449"/>
        <v>0</v>
      </c>
      <c r="AE569" s="83"/>
      <c r="AF569" s="102"/>
      <c r="AG569" s="107"/>
    </row>
    <row r="570" spans="1:33">
      <c r="A570" s="11"/>
      <c r="B570" s="10" t="s">
        <v>89</v>
      </c>
      <c r="C570" s="11"/>
      <c r="D570" s="11"/>
      <c r="E570" s="11"/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/>
      <c r="Q570" s="12"/>
      <c r="R570" s="126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57"/>
      <c r="AD570" s="157">
        <v>0</v>
      </c>
      <c r="AE570" s="83"/>
      <c r="AF570" s="102"/>
      <c r="AG570" s="107"/>
    </row>
    <row r="571" spans="1:33">
      <c r="A571" s="11"/>
      <c r="B571" s="10" t="s">
        <v>120</v>
      </c>
      <c r="C571" s="11"/>
      <c r="D571" s="11"/>
      <c r="E571" s="11"/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/>
      <c r="Q571" s="12"/>
      <c r="R571" s="126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57"/>
      <c r="AD571" s="157">
        <v>0</v>
      </c>
      <c r="AE571" s="83"/>
      <c r="AF571" s="102"/>
      <c r="AG571" s="107"/>
    </row>
    <row r="572" spans="1:33">
      <c r="A572" s="11"/>
      <c r="B572" s="10" t="s">
        <v>39</v>
      </c>
      <c r="C572" s="11"/>
      <c r="D572" s="11"/>
      <c r="E572" s="11"/>
      <c r="F572" s="12">
        <v>0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/>
      <c r="Q572" s="12"/>
      <c r="R572" s="126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57"/>
      <c r="AD572" s="157">
        <v>0</v>
      </c>
      <c r="AE572" s="83"/>
      <c r="AF572" s="102"/>
      <c r="AG572" s="107"/>
    </row>
    <row r="573" spans="1:33">
      <c r="A573" s="13"/>
      <c r="B573" s="127" t="s">
        <v>302</v>
      </c>
      <c r="C573" s="13"/>
      <c r="D573" s="13"/>
      <c r="E573" s="13"/>
      <c r="F573" s="15">
        <f>F574+F575+F576+F577+F578</f>
        <v>1353889.97003</v>
      </c>
      <c r="G573" s="15">
        <f t="shared" ref="G573:AD573" si="450">G574+G575+G576+G577+G578</f>
        <v>979809.42000000016</v>
      </c>
      <c r="H573" s="15">
        <f t="shared" si="450"/>
        <v>1029979.639</v>
      </c>
      <c r="I573" s="15">
        <f t="shared" si="450"/>
        <v>272916.15103000001</v>
      </c>
      <c r="J573" s="15">
        <f t="shared" si="450"/>
        <v>50170.219000000005</v>
      </c>
      <c r="K573" s="15">
        <f t="shared" si="450"/>
        <v>62531.170999999995</v>
      </c>
      <c r="L573" s="15">
        <f t="shared" si="450"/>
        <v>75993.391000000003</v>
      </c>
      <c r="M573" s="15">
        <f t="shared" si="450"/>
        <v>35542.030030000002</v>
      </c>
      <c r="N573" s="15">
        <f t="shared" si="450"/>
        <v>36230.01</v>
      </c>
      <c r="O573" s="15">
        <f t="shared" si="450"/>
        <v>62619.548999999999</v>
      </c>
      <c r="P573" s="15">
        <f t="shared" si="450"/>
        <v>34028.012000000002</v>
      </c>
      <c r="Q573" s="15">
        <f t="shared" si="450"/>
        <v>6966.1679999999997</v>
      </c>
      <c r="R573" s="126">
        <f t="shared" si="450"/>
        <v>10000</v>
      </c>
      <c r="S573" s="15">
        <f t="shared" si="450"/>
        <v>5000</v>
      </c>
      <c r="T573" s="15">
        <f t="shared" si="450"/>
        <v>5000</v>
      </c>
      <c r="U573" s="15">
        <f t="shared" si="450"/>
        <v>0</v>
      </c>
      <c r="V573" s="15">
        <f t="shared" si="450"/>
        <v>0</v>
      </c>
      <c r="W573" s="15">
        <f t="shared" si="450"/>
        <v>0</v>
      </c>
      <c r="X573" s="15">
        <f t="shared" si="450"/>
        <v>0</v>
      </c>
      <c r="Y573" s="15">
        <f t="shared" si="450"/>
        <v>0</v>
      </c>
      <c r="Z573" s="15">
        <f t="shared" si="450"/>
        <v>0</v>
      </c>
      <c r="AA573" s="15">
        <f t="shared" si="450"/>
        <v>0</v>
      </c>
      <c r="AB573" s="15">
        <f t="shared" si="450"/>
        <v>0</v>
      </c>
      <c r="AC573" s="156">
        <f t="shared" si="450"/>
        <v>0</v>
      </c>
      <c r="AD573" s="156">
        <f t="shared" si="450"/>
        <v>50994.18</v>
      </c>
      <c r="AE573" s="84"/>
      <c r="AF573" s="106"/>
      <c r="AG573" s="107"/>
    </row>
    <row r="574" spans="1:33">
      <c r="A574" s="11"/>
      <c r="B574" s="10" t="s">
        <v>31</v>
      </c>
      <c r="C574" s="11"/>
      <c r="D574" s="11"/>
      <c r="E574" s="11"/>
      <c r="F574" s="12">
        <f t="shared" ref="F574:AD574" si="451">F391+F395+F398+F400+F404+F407+F410+F413+F416+F419+F424+F426+F428+F432+F435+F438+F440+F422</f>
        <v>1134231.4190299998</v>
      </c>
      <c r="G574" s="12">
        <f t="shared" si="451"/>
        <v>816835.80000000016</v>
      </c>
      <c r="H574" s="12">
        <f t="shared" si="451"/>
        <v>863473.06799999997</v>
      </c>
      <c r="I574" s="12">
        <f t="shared" si="451"/>
        <v>224323.77003000001</v>
      </c>
      <c r="J574" s="12">
        <f t="shared" si="451"/>
        <v>46637.268000000004</v>
      </c>
      <c r="K574" s="12">
        <f t="shared" si="451"/>
        <v>53360.138999999996</v>
      </c>
      <c r="L574" s="12">
        <f t="shared" si="451"/>
        <v>65298.614000000009</v>
      </c>
      <c r="M574" s="12">
        <f t="shared" si="451"/>
        <v>23747.865030000001</v>
      </c>
      <c r="N574" s="12">
        <f t="shared" si="451"/>
        <v>28528.006000000001</v>
      </c>
      <c r="O574" s="12">
        <f t="shared" si="451"/>
        <v>53389.146000000001</v>
      </c>
      <c r="P574" s="12">
        <f t="shared" si="451"/>
        <v>30810.563000000002</v>
      </c>
      <c r="Q574" s="12">
        <f t="shared" si="451"/>
        <v>5624.018</v>
      </c>
      <c r="R574" s="12">
        <f t="shared" si="451"/>
        <v>10000</v>
      </c>
      <c r="S574" s="12">
        <f t="shared" si="451"/>
        <v>5000</v>
      </c>
      <c r="T574" s="12">
        <f t="shared" si="451"/>
        <v>5000</v>
      </c>
      <c r="U574" s="12">
        <f t="shared" si="451"/>
        <v>0</v>
      </c>
      <c r="V574" s="12">
        <f t="shared" si="451"/>
        <v>0</v>
      </c>
      <c r="W574" s="12">
        <f t="shared" si="451"/>
        <v>0</v>
      </c>
      <c r="X574" s="12">
        <f t="shared" si="451"/>
        <v>0</v>
      </c>
      <c r="Y574" s="12">
        <f t="shared" si="451"/>
        <v>0</v>
      </c>
      <c r="Z574" s="12">
        <f t="shared" si="451"/>
        <v>0</v>
      </c>
      <c r="AA574" s="12">
        <f t="shared" si="451"/>
        <v>0</v>
      </c>
      <c r="AB574" s="12">
        <f t="shared" si="451"/>
        <v>0</v>
      </c>
      <c r="AC574" s="157">
        <f t="shared" si="451"/>
        <v>0</v>
      </c>
      <c r="AD574" s="157">
        <f t="shared" si="451"/>
        <v>46434.580999999998</v>
      </c>
      <c r="AE574" s="83"/>
      <c r="AF574" s="102"/>
      <c r="AG574" s="107"/>
    </row>
    <row r="575" spans="1:33">
      <c r="A575" s="11"/>
      <c r="B575" s="10" t="s">
        <v>41</v>
      </c>
      <c r="C575" s="11"/>
      <c r="D575" s="11"/>
      <c r="E575" s="11"/>
      <c r="F575" s="12">
        <f t="shared" ref="F575:AD575" si="452">F392+F401+F408+F411+F414+F429+F436+F433</f>
        <v>149289.85000000003</v>
      </c>
      <c r="G575" s="12">
        <f t="shared" si="452"/>
        <v>131996.62</v>
      </c>
      <c r="H575" s="12">
        <f t="shared" si="452"/>
        <v>131996.62</v>
      </c>
      <c r="I575" s="12">
        <f t="shared" si="452"/>
        <v>12733.631000000001</v>
      </c>
      <c r="J575" s="12">
        <f t="shared" si="452"/>
        <v>0</v>
      </c>
      <c r="K575" s="12">
        <f t="shared" si="452"/>
        <v>0</v>
      </c>
      <c r="L575" s="12">
        <f t="shared" si="452"/>
        <v>0</v>
      </c>
      <c r="M575" s="12">
        <f t="shared" si="452"/>
        <v>523.32500000000005</v>
      </c>
      <c r="N575" s="12">
        <f t="shared" si="452"/>
        <v>2979.9030000000002</v>
      </c>
      <c r="O575" s="12">
        <f t="shared" si="452"/>
        <v>9230.4030000000002</v>
      </c>
      <c r="P575" s="12">
        <f t="shared" si="452"/>
        <v>3217.4489999999996</v>
      </c>
      <c r="Q575" s="12">
        <f t="shared" si="452"/>
        <v>1342.15</v>
      </c>
      <c r="R575" s="12">
        <f t="shared" si="452"/>
        <v>0</v>
      </c>
      <c r="S575" s="12">
        <f t="shared" si="452"/>
        <v>0</v>
      </c>
      <c r="T575" s="12">
        <f t="shared" si="452"/>
        <v>0</v>
      </c>
      <c r="U575" s="12">
        <f t="shared" si="452"/>
        <v>0</v>
      </c>
      <c r="V575" s="12">
        <f t="shared" si="452"/>
        <v>0</v>
      </c>
      <c r="W575" s="12">
        <f t="shared" si="452"/>
        <v>0</v>
      </c>
      <c r="X575" s="12">
        <f t="shared" si="452"/>
        <v>0</v>
      </c>
      <c r="Y575" s="12">
        <f t="shared" si="452"/>
        <v>0</v>
      </c>
      <c r="Z575" s="12">
        <f t="shared" si="452"/>
        <v>0</v>
      </c>
      <c r="AA575" s="12">
        <f t="shared" si="452"/>
        <v>0</v>
      </c>
      <c r="AB575" s="12">
        <f t="shared" si="452"/>
        <v>0</v>
      </c>
      <c r="AC575" s="157">
        <f t="shared" si="452"/>
        <v>0</v>
      </c>
      <c r="AD575" s="157">
        <f t="shared" si="452"/>
        <v>4559.5990000000002</v>
      </c>
      <c r="AE575" s="83"/>
      <c r="AF575" s="102"/>
      <c r="AG575" s="107"/>
    </row>
    <row r="576" spans="1:33">
      <c r="A576" s="11"/>
      <c r="B576" s="10" t="s">
        <v>89</v>
      </c>
      <c r="C576" s="11"/>
      <c r="D576" s="11"/>
      <c r="E576" s="11"/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6">
        <v>0</v>
      </c>
      <c r="S576" s="12">
        <v>0</v>
      </c>
      <c r="T576" s="12"/>
      <c r="U576" s="12"/>
      <c r="V576" s="12"/>
      <c r="W576" s="12"/>
      <c r="X576" s="12"/>
      <c r="Y576" s="12"/>
      <c r="Z576" s="12"/>
      <c r="AA576" s="12"/>
      <c r="AB576" s="12"/>
      <c r="AC576" s="157"/>
      <c r="AD576" s="157">
        <v>0</v>
      </c>
      <c r="AE576" s="83"/>
      <c r="AF576" s="102"/>
      <c r="AG576" s="107"/>
    </row>
    <row r="577" spans="1:33">
      <c r="A577" s="11"/>
      <c r="B577" s="10" t="s">
        <v>120</v>
      </c>
      <c r="C577" s="11"/>
      <c r="D577" s="11"/>
      <c r="E577" s="11"/>
      <c r="F577" s="12">
        <f t="shared" ref="F577:AD577" si="453">F396+F405+F417+F420</f>
        <v>47567.701000000001</v>
      </c>
      <c r="G577" s="12">
        <f t="shared" si="453"/>
        <v>8320</v>
      </c>
      <c r="H577" s="12">
        <f t="shared" si="453"/>
        <v>11852.951000000001</v>
      </c>
      <c r="I577" s="12">
        <f t="shared" si="453"/>
        <v>35714.75</v>
      </c>
      <c r="J577" s="12">
        <f t="shared" si="453"/>
        <v>3532.951</v>
      </c>
      <c r="K577" s="12">
        <f t="shared" si="453"/>
        <v>9171.0319999999992</v>
      </c>
      <c r="L577" s="12">
        <f t="shared" si="453"/>
        <v>10550.777</v>
      </c>
      <c r="M577" s="12">
        <f t="shared" si="453"/>
        <v>11270.84</v>
      </c>
      <c r="N577" s="12">
        <f t="shared" si="453"/>
        <v>4722.1010000000006</v>
      </c>
      <c r="O577" s="12">
        <f t="shared" si="453"/>
        <v>0</v>
      </c>
      <c r="P577" s="12">
        <f t="shared" si="453"/>
        <v>0</v>
      </c>
      <c r="Q577" s="12">
        <f t="shared" si="453"/>
        <v>0</v>
      </c>
      <c r="R577" s="126">
        <f>R396+R405+R417+R420</f>
        <v>0</v>
      </c>
      <c r="S577" s="12">
        <f t="shared" si="453"/>
        <v>0</v>
      </c>
      <c r="T577" s="12">
        <f t="shared" si="453"/>
        <v>0</v>
      </c>
      <c r="U577" s="12">
        <f t="shared" si="453"/>
        <v>0</v>
      </c>
      <c r="V577" s="12">
        <f t="shared" si="453"/>
        <v>0</v>
      </c>
      <c r="W577" s="12">
        <f t="shared" si="453"/>
        <v>0</v>
      </c>
      <c r="X577" s="12">
        <f t="shared" si="453"/>
        <v>0</v>
      </c>
      <c r="Y577" s="12">
        <f t="shared" si="453"/>
        <v>0</v>
      </c>
      <c r="Z577" s="12">
        <f t="shared" si="453"/>
        <v>0</v>
      </c>
      <c r="AA577" s="12">
        <f t="shared" si="453"/>
        <v>0</v>
      </c>
      <c r="AB577" s="12">
        <f t="shared" si="453"/>
        <v>0</v>
      </c>
      <c r="AC577" s="157">
        <f t="shared" si="453"/>
        <v>0</v>
      </c>
      <c r="AD577" s="157">
        <f t="shared" si="453"/>
        <v>0</v>
      </c>
      <c r="AE577" s="83"/>
      <c r="AF577" s="102"/>
      <c r="AG577" s="107"/>
    </row>
    <row r="578" spans="1:33">
      <c r="A578" s="11"/>
      <c r="B578" s="10" t="s">
        <v>39</v>
      </c>
      <c r="C578" s="11"/>
      <c r="D578" s="11"/>
      <c r="E578" s="11"/>
      <c r="F578" s="12">
        <f t="shared" ref="F578:AD578" si="454">F393+F402+F430</f>
        <v>22801</v>
      </c>
      <c r="G578" s="12">
        <f t="shared" si="454"/>
        <v>22657</v>
      </c>
      <c r="H578" s="12">
        <f t="shared" si="454"/>
        <v>22657</v>
      </c>
      <c r="I578" s="12">
        <f t="shared" si="454"/>
        <v>144</v>
      </c>
      <c r="J578" s="12">
        <f t="shared" si="454"/>
        <v>0</v>
      </c>
      <c r="K578" s="12">
        <f t="shared" si="454"/>
        <v>0</v>
      </c>
      <c r="L578" s="12">
        <f t="shared" si="454"/>
        <v>144</v>
      </c>
      <c r="M578" s="12">
        <f t="shared" si="454"/>
        <v>0</v>
      </c>
      <c r="N578" s="12">
        <f t="shared" si="454"/>
        <v>0</v>
      </c>
      <c r="O578" s="12">
        <f t="shared" si="454"/>
        <v>0</v>
      </c>
      <c r="P578" s="12">
        <f t="shared" si="454"/>
        <v>0</v>
      </c>
      <c r="Q578" s="12">
        <f t="shared" si="454"/>
        <v>0</v>
      </c>
      <c r="R578" s="126">
        <f t="shared" si="454"/>
        <v>0</v>
      </c>
      <c r="S578" s="12">
        <f t="shared" si="454"/>
        <v>0</v>
      </c>
      <c r="T578" s="12">
        <f t="shared" si="454"/>
        <v>0</v>
      </c>
      <c r="U578" s="12">
        <f t="shared" si="454"/>
        <v>0</v>
      </c>
      <c r="V578" s="12">
        <f t="shared" si="454"/>
        <v>0</v>
      </c>
      <c r="W578" s="12">
        <f t="shared" si="454"/>
        <v>0</v>
      </c>
      <c r="X578" s="12">
        <f t="shared" si="454"/>
        <v>0</v>
      </c>
      <c r="Y578" s="12">
        <f t="shared" si="454"/>
        <v>0</v>
      </c>
      <c r="Z578" s="12">
        <f t="shared" si="454"/>
        <v>0</v>
      </c>
      <c r="AA578" s="12">
        <f t="shared" si="454"/>
        <v>0</v>
      </c>
      <c r="AB578" s="12">
        <f t="shared" si="454"/>
        <v>0</v>
      </c>
      <c r="AC578" s="157">
        <f t="shared" si="454"/>
        <v>0</v>
      </c>
      <c r="AD578" s="157">
        <f t="shared" si="454"/>
        <v>0</v>
      </c>
      <c r="AE578" s="83"/>
      <c r="AF578" s="102"/>
      <c r="AG578" s="107"/>
    </row>
    <row r="579" spans="1:33">
      <c r="A579" s="13"/>
      <c r="B579" s="14" t="s">
        <v>303</v>
      </c>
      <c r="C579" s="13"/>
      <c r="D579" s="13"/>
      <c r="E579" s="13"/>
      <c r="F579" s="15">
        <f>F580+F581+F582+F583+F584</f>
        <v>633414.61499999987</v>
      </c>
      <c r="G579" s="15">
        <f t="shared" ref="G579:AD579" si="455">G580+G581+G582+G583+G584</f>
        <v>173913.96</v>
      </c>
      <c r="H579" s="15">
        <f t="shared" si="455"/>
        <v>346634.20799999998</v>
      </c>
      <c r="I579" s="15">
        <f t="shared" si="455"/>
        <v>260244.03099999993</v>
      </c>
      <c r="J579" s="15">
        <f t="shared" si="455"/>
        <v>172791.94799999997</v>
      </c>
      <c r="K579" s="15">
        <f t="shared" si="455"/>
        <v>173092.17399999997</v>
      </c>
      <c r="L579" s="15">
        <f t="shared" si="455"/>
        <v>39064.828000000001</v>
      </c>
      <c r="M579" s="15">
        <f t="shared" si="455"/>
        <v>8862.1099999999988</v>
      </c>
      <c r="N579" s="15">
        <f t="shared" si="455"/>
        <v>23302.727000000003</v>
      </c>
      <c r="O579" s="15">
        <f t="shared" si="455"/>
        <v>15922.191999999999</v>
      </c>
      <c r="P579" s="15">
        <f t="shared" si="455"/>
        <v>1435.4460000000001</v>
      </c>
      <c r="Q579" s="15">
        <f t="shared" si="455"/>
        <v>192</v>
      </c>
      <c r="R579" s="126">
        <f t="shared" si="455"/>
        <v>24908.93</v>
      </c>
      <c r="S579" s="15">
        <f t="shared" si="455"/>
        <v>17038.93</v>
      </c>
      <c r="T579" s="15">
        <f t="shared" si="455"/>
        <v>0</v>
      </c>
      <c r="U579" s="15">
        <f t="shared" si="455"/>
        <v>7870</v>
      </c>
      <c r="V579" s="15">
        <f t="shared" si="455"/>
        <v>0</v>
      </c>
      <c r="W579" s="15">
        <f t="shared" si="455"/>
        <v>0</v>
      </c>
      <c r="X579" s="15">
        <f t="shared" si="455"/>
        <v>0</v>
      </c>
      <c r="Y579" s="15">
        <f t="shared" si="455"/>
        <v>0</v>
      </c>
      <c r="Z579" s="15">
        <f t="shared" si="455"/>
        <v>0</v>
      </c>
      <c r="AA579" s="15">
        <f t="shared" si="455"/>
        <v>0</v>
      </c>
      <c r="AB579" s="15">
        <f t="shared" si="455"/>
        <v>0</v>
      </c>
      <c r="AC579" s="156">
        <f t="shared" si="455"/>
        <v>0</v>
      </c>
      <c r="AD579" s="156">
        <f t="shared" si="455"/>
        <v>26536.376</v>
      </c>
      <c r="AE579" s="84"/>
      <c r="AF579" s="106"/>
      <c r="AG579" s="107"/>
    </row>
    <row r="580" spans="1:33">
      <c r="A580" s="11"/>
      <c r="B580" s="10" t="s">
        <v>31</v>
      </c>
      <c r="C580" s="11"/>
      <c r="D580" s="11"/>
      <c r="E580" s="11"/>
      <c r="F580" s="12">
        <f>F443+F446+F448+F451+F453+F456+F458+F460+F462+F464+F466+F468+F471+F474+F481+F479+F477</f>
        <v>467418.93099999987</v>
      </c>
      <c r="G580" s="12">
        <f t="shared" ref="G580:N580" si="456">G443+G446+G448+G451+G453+G456+G458+G460+G462+G464+G466+G468+G471+G474+G481+G479+G477</f>
        <v>128527.04399999999</v>
      </c>
      <c r="H580" s="12">
        <f t="shared" si="456"/>
        <v>230281.79299999998</v>
      </c>
      <c r="I580" s="12">
        <f t="shared" si="456"/>
        <v>210946.59799999994</v>
      </c>
      <c r="J580" s="12">
        <f t="shared" si="456"/>
        <v>101826.44899999999</v>
      </c>
      <c r="K580" s="12">
        <f t="shared" si="456"/>
        <v>137532.13499999998</v>
      </c>
      <c r="L580" s="12">
        <f t="shared" si="456"/>
        <v>31360.670000000002</v>
      </c>
      <c r="M580" s="12">
        <f t="shared" si="456"/>
        <v>8623.882999999998</v>
      </c>
      <c r="N580" s="12">
        <f t="shared" si="456"/>
        <v>21415.732000000004</v>
      </c>
      <c r="O580" s="12">
        <f>O443+O446+O448+O451+O453+O456+O458+O460+O462+O464+O466+O468+O471+O474+O481+O479+O477</f>
        <v>12014.178</v>
      </c>
      <c r="P580" s="12">
        <f t="shared" ref="P580:AD580" si="457">P443+P446+P448+P451+P453+P456+P458+P460+P462+P464+P466+P468+P471+P474+P481+P479+P477</f>
        <v>1089.6100000000001</v>
      </c>
      <c r="Q580" s="12">
        <f t="shared" si="457"/>
        <v>192</v>
      </c>
      <c r="R580" s="126">
        <f t="shared" si="457"/>
        <v>24908.93</v>
      </c>
      <c r="S580" s="12">
        <f t="shared" si="457"/>
        <v>17038.93</v>
      </c>
      <c r="T580" s="12">
        <f t="shared" si="457"/>
        <v>0</v>
      </c>
      <c r="U580" s="12">
        <f t="shared" si="457"/>
        <v>7870</v>
      </c>
      <c r="V580" s="12">
        <f t="shared" si="457"/>
        <v>0</v>
      </c>
      <c r="W580" s="12">
        <f t="shared" si="457"/>
        <v>0</v>
      </c>
      <c r="X580" s="12">
        <f t="shared" si="457"/>
        <v>0</v>
      </c>
      <c r="Y580" s="12">
        <f t="shared" si="457"/>
        <v>0</v>
      </c>
      <c r="Z580" s="12">
        <f t="shared" si="457"/>
        <v>0</v>
      </c>
      <c r="AA580" s="12">
        <f t="shared" si="457"/>
        <v>0</v>
      </c>
      <c r="AB580" s="12">
        <f t="shared" si="457"/>
        <v>0</v>
      </c>
      <c r="AC580" s="157">
        <f t="shared" si="457"/>
        <v>0</v>
      </c>
      <c r="AD580" s="157">
        <f t="shared" si="457"/>
        <v>26190.54</v>
      </c>
      <c r="AE580" s="83"/>
      <c r="AF580" s="102"/>
      <c r="AG580" s="107"/>
    </row>
    <row r="581" spans="1:33">
      <c r="A581" s="11"/>
      <c r="B581" s="10" t="s">
        <v>41</v>
      </c>
      <c r="C581" s="11"/>
      <c r="D581" s="11"/>
      <c r="E581" s="11"/>
      <c r="F581" s="12">
        <f>F444+F449+F454+F469+F472+F475</f>
        <v>165995.68400000001</v>
      </c>
      <c r="G581" s="12">
        <f t="shared" ref="G581:N581" si="458">G444+G449+G454+G469+G472+G475</f>
        <v>45386.915999999997</v>
      </c>
      <c r="H581" s="12">
        <f t="shared" si="458"/>
        <v>116352.41499999999</v>
      </c>
      <c r="I581" s="12">
        <f t="shared" si="458"/>
        <v>49297.432999999997</v>
      </c>
      <c r="J581" s="12">
        <f t="shared" si="458"/>
        <v>70965.498999999996</v>
      </c>
      <c r="K581" s="12">
        <f t="shared" si="458"/>
        <v>35560.038999999997</v>
      </c>
      <c r="L581" s="12">
        <f t="shared" si="458"/>
        <v>7704.1580000000004</v>
      </c>
      <c r="M581" s="12">
        <f t="shared" si="458"/>
        <v>238.227</v>
      </c>
      <c r="N581" s="12">
        <f t="shared" si="458"/>
        <v>1886.9949999999999</v>
      </c>
      <c r="O581" s="12">
        <f>O444+O449+O454+O469+O472+O475</f>
        <v>3908.0140000000001</v>
      </c>
      <c r="P581" s="12">
        <f t="shared" ref="P581:AD581" si="459">P444+P449+P454+P469+P472+P475</f>
        <v>345.83600000000001</v>
      </c>
      <c r="Q581" s="12">
        <f t="shared" si="459"/>
        <v>0</v>
      </c>
      <c r="R581" s="126">
        <f t="shared" si="459"/>
        <v>0</v>
      </c>
      <c r="S581" s="12">
        <f t="shared" si="459"/>
        <v>0</v>
      </c>
      <c r="T581" s="12">
        <f t="shared" si="459"/>
        <v>0</v>
      </c>
      <c r="U581" s="12">
        <f t="shared" si="459"/>
        <v>0</v>
      </c>
      <c r="V581" s="12">
        <f t="shared" si="459"/>
        <v>0</v>
      </c>
      <c r="W581" s="12">
        <f t="shared" si="459"/>
        <v>0</v>
      </c>
      <c r="X581" s="12">
        <f t="shared" si="459"/>
        <v>0</v>
      </c>
      <c r="Y581" s="12">
        <f t="shared" si="459"/>
        <v>0</v>
      </c>
      <c r="Z581" s="12">
        <f t="shared" si="459"/>
        <v>0</v>
      </c>
      <c r="AA581" s="12">
        <f t="shared" si="459"/>
        <v>0</v>
      </c>
      <c r="AB581" s="12">
        <f t="shared" si="459"/>
        <v>0</v>
      </c>
      <c r="AC581" s="157">
        <f t="shared" si="459"/>
        <v>0</v>
      </c>
      <c r="AD581" s="157">
        <f t="shared" si="459"/>
        <v>345.83600000000001</v>
      </c>
      <c r="AE581" s="83"/>
      <c r="AF581" s="102"/>
      <c r="AG581" s="107"/>
    </row>
    <row r="582" spans="1:33">
      <c r="A582" s="11"/>
      <c r="B582" s="10" t="s">
        <v>89</v>
      </c>
      <c r="C582" s="11"/>
      <c r="D582" s="11"/>
      <c r="E582" s="11"/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6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57">
        <v>0</v>
      </c>
      <c r="AD582" s="157">
        <v>0</v>
      </c>
      <c r="AE582" s="83"/>
      <c r="AF582" s="102"/>
      <c r="AG582" s="107"/>
    </row>
    <row r="583" spans="1:33">
      <c r="A583" s="11"/>
      <c r="B583" s="10" t="s">
        <v>120</v>
      </c>
      <c r="C583" s="11"/>
      <c r="D583" s="11"/>
      <c r="E583" s="11"/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6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57">
        <v>0</v>
      </c>
      <c r="AD583" s="157">
        <v>0</v>
      </c>
      <c r="AE583" s="83"/>
      <c r="AF583" s="102"/>
      <c r="AG583" s="107"/>
    </row>
    <row r="584" spans="1:33">
      <c r="A584" s="11"/>
      <c r="B584" s="10" t="s">
        <v>39</v>
      </c>
      <c r="C584" s="11"/>
      <c r="D584" s="11"/>
      <c r="E584" s="11"/>
      <c r="F584" s="12">
        <v>0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6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57">
        <v>0</v>
      </c>
      <c r="AD584" s="157">
        <v>0</v>
      </c>
      <c r="AE584" s="83"/>
      <c r="AF584" s="102"/>
      <c r="AG584" s="107"/>
    </row>
    <row r="585" spans="1:33">
      <c r="A585" s="13"/>
      <c r="B585" s="14" t="s">
        <v>304</v>
      </c>
      <c r="C585" s="13"/>
      <c r="D585" s="13"/>
      <c r="E585" s="13"/>
      <c r="F585" s="15">
        <f>F586+F587+F588+F589+F590</f>
        <v>373304.29199999996</v>
      </c>
      <c r="G585" s="15">
        <f t="shared" ref="G585:AD585" si="460">G586+G587+G588+G589+G590</f>
        <v>51809.406999999999</v>
      </c>
      <c r="H585" s="15">
        <f t="shared" si="460"/>
        <v>54346.699000000001</v>
      </c>
      <c r="I585" s="15">
        <f t="shared" si="460"/>
        <v>267692.66399999999</v>
      </c>
      <c r="J585" s="15">
        <f t="shared" si="460"/>
        <v>2537.2919999999999</v>
      </c>
      <c r="K585" s="15">
        <f t="shared" si="460"/>
        <v>23021</v>
      </c>
      <c r="L585" s="15">
        <f t="shared" si="460"/>
        <v>58209.849000000002</v>
      </c>
      <c r="M585" s="15">
        <f t="shared" si="460"/>
        <v>30720.278999999999</v>
      </c>
      <c r="N585" s="15">
        <f t="shared" si="460"/>
        <v>109133.60300000002</v>
      </c>
      <c r="O585" s="15">
        <f t="shared" si="460"/>
        <v>46607.933000000005</v>
      </c>
      <c r="P585" s="15">
        <f t="shared" si="460"/>
        <v>29564.929</v>
      </c>
      <c r="Q585" s="15">
        <f t="shared" si="460"/>
        <v>21200</v>
      </c>
      <c r="R585" s="126">
        <f t="shared" si="460"/>
        <v>500</v>
      </c>
      <c r="S585" s="15">
        <f t="shared" si="460"/>
        <v>500</v>
      </c>
      <c r="T585" s="15">
        <f t="shared" si="460"/>
        <v>0</v>
      </c>
      <c r="U585" s="15">
        <f t="shared" si="460"/>
        <v>0</v>
      </c>
      <c r="V585" s="15">
        <f t="shared" si="460"/>
        <v>0</v>
      </c>
      <c r="W585" s="15">
        <f t="shared" si="460"/>
        <v>0</v>
      </c>
      <c r="X585" s="15">
        <f t="shared" si="460"/>
        <v>0</v>
      </c>
      <c r="Y585" s="15">
        <f t="shared" si="460"/>
        <v>0</v>
      </c>
      <c r="Z585" s="15">
        <f t="shared" si="460"/>
        <v>0</v>
      </c>
      <c r="AA585" s="15">
        <f t="shared" si="460"/>
        <v>0</v>
      </c>
      <c r="AB585" s="15">
        <f t="shared" si="460"/>
        <v>0</v>
      </c>
      <c r="AC585" s="156">
        <f t="shared" si="460"/>
        <v>0</v>
      </c>
      <c r="AD585" s="156">
        <f t="shared" si="460"/>
        <v>51264.929000000004</v>
      </c>
      <c r="AE585" s="84"/>
      <c r="AF585" s="106"/>
      <c r="AG585" s="107"/>
    </row>
    <row r="586" spans="1:33">
      <c r="A586" s="11"/>
      <c r="B586" s="10" t="s">
        <v>31</v>
      </c>
      <c r="C586" s="11"/>
      <c r="D586" s="11"/>
      <c r="E586" s="11"/>
      <c r="F586" s="12">
        <f>F484+F486+F489+F491+F495+F500+F505+F502+F498+F493</f>
        <v>343954.96099999995</v>
      </c>
      <c r="G586" s="12">
        <f t="shared" ref="G586:AD586" si="461">G484+G486+G489+G491+G495+G500+G505+G502+G498+G493</f>
        <v>51809.406999999999</v>
      </c>
      <c r="H586" s="12">
        <f t="shared" si="461"/>
        <v>54346.699000000001</v>
      </c>
      <c r="I586" s="12">
        <f t="shared" si="461"/>
        <v>238343.33300000001</v>
      </c>
      <c r="J586" s="12">
        <f t="shared" si="461"/>
        <v>2537.2919999999999</v>
      </c>
      <c r="K586" s="12">
        <f t="shared" si="461"/>
        <v>16021</v>
      </c>
      <c r="L586" s="12">
        <f t="shared" si="461"/>
        <v>45040.126000000004</v>
      </c>
      <c r="M586" s="12">
        <f t="shared" si="461"/>
        <v>26070.278999999999</v>
      </c>
      <c r="N586" s="12">
        <f t="shared" si="461"/>
        <v>108588.40500000001</v>
      </c>
      <c r="O586" s="12">
        <f t="shared" si="461"/>
        <v>42623.523000000008</v>
      </c>
      <c r="P586" s="12">
        <f t="shared" si="461"/>
        <v>29564.929</v>
      </c>
      <c r="Q586" s="12">
        <f t="shared" si="461"/>
        <v>21200</v>
      </c>
      <c r="R586" s="12">
        <f t="shared" si="461"/>
        <v>500</v>
      </c>
      <c r="S586" s="12">
        <f t="shared" si="461"/>
        <v>500</v>
      </c>
      <c r="T586" s="12">
        <f t="shared" si="461"/>
        <v>0</v>
      </c>
      <c r="U586" s="12">
        <f t="shared" si="461"/>
        <v>0</v>
      </c>
      <c r="V586" s="12">
        <f t="shared" si="461"/>
        <v>0</v>
      </c>
      <c r="W586" s="12">
        <f t="shared" si="461"/>
        <v>0</v>
      </c>
      <c r="X586" s="12">
        <f t="shared" si="461"/>
        <v>0</v>
      </c>
      <c r="Y586" s="12">
        <f t="shared" si="461"/>
        <v>0</v>
      </c>
      <c r="Z586" s="12">
        <f t="shared" si="461"/>
        <v>0</v>
      </c>
      <c r="AA586" s="12">
        <f t="shared" si="461"/>
        <v>0</v>
      </c>
      <c r="AB586" s="12">
        <f t="shared" si="461"/>
        <v>0</v>
      </c>
      <c r="AC586" s="157">
        <f t="shared" si="461"/>
        <v>0</v>
      </c>
      <c r="AD586" s="157">
        <f t="shared" si="461"/>
        <v>51264.929000000004</v>
      </c>
      <c r="AE586" s="83"/>
      <c r="AF586" s="102"/>
      <c r="AG586" s="107"/>
    </row>
    <row r="587" spans="1:33">
      <c r="A587" s="11"/>
      <c r="B587" s="10" t="s">
        <v>41</v>
      </c>
      <c r="C587" s="11"/>
      <c r="D587" s="11"/>
      <c r="E587" s="11"/>
      <c r="F587" s="12">
        <f>F507+F503</f>
        <v>4529.6080000000002</v>
      </c>
      <c r="G587" s="12">
        <f t="shared" ref="G587:N587" si="462">G507+G503</f>
        <v>0</v>
      </c>
      <c r="H587" s="12">
        <f t="shared" si="462"/>
        <v>0</v>
      </c>
      <c r="I587" s="12">
        <f t="shared" si="462"/>
        <v>4529.6080000000002</v>
      </c>
      <c r="J587" s="12">
        <f t="shared" si="462"/>
        <v>0</v>
      </c>
      <c r="K587" s="12">
        <f t="shared" si="462"/>
        <v>0</v>
      </c>
      <c r="L587" s="12">
        <f t="shared" si="462"/>
        <v>0</v>
      </c>
      <c r="M587" s="12">
        <f t="shared" si="462"/>
        <v>0</v>
      </c>
      <c r="N587" s="12">
        <f t="shared" si="462"/>
        <v>545.19799999999998</v>
      </c>
      <c r="O587" s="12">
        <f>O507+O503</f>
        <v>3984.41</v>
      </c>
      <c r="P587" s="12">
        <f t="shared" ref="P587:AD587" si="463">P507+P503</f>
        <v>0</v>
      </c>
      <c r="Q587" s="12">
        <f t="shared" si="463"/>
        <v>0</v>
      </c>
      <c r="R587" s="126">
        <f t="shared" si="463"/>
        <v>0</v>
      </c>
      <c r="S587" s="12">
        <f t="shared" si="463"/>
        <v>0</v>
      </c>
      <c r="T587" s="12">
        <f t="shared" si="463"/>
        <v>0</v>
      </c>
      <c r="U587" s="12">
        <f t="shared" si="463"/>
        <v>0</v>
      </c>
      <c r="V587" s="12">
        <f t="shared" si="463"/>
        <v>0</v>
      </c>
      <c r="W587" s="12">
        <f t="shared" si="463"/>
        <v>0</v>
      </c>
      <c r="X587" s="12">
        <f t="shared" si="463"/>
        <v>0</v>
      </c>
      <c r="Y587" s="12">
        <f t="shared" si="463"/>
        <v>0</v>
      </c>
      <c r="Z587" s="12">
        <f t="shared" si="463"/>
        <v>0</v>
      </c>
      <c r="AA587" s="12">
        <f t="shared" si="463"/>
        <v>0</v>
      </c>
      <c r="AB587" s="12">
        <f t="shared" si="463"/>
        <v>0</v>
      </c>
      <c r="AC587" s="157">
        <f t="shared" si="463"/>
        <v>0</v>
      </c>
      <c r="AD587" s="157">
        <f t="shared" si="463"/>
        <v>0</v>
      </c>
      <c r="AE587" s="83"/>
      <c r="AF587" s="102"/>
      <c r="AG587" s="107"/>
    </row>
    <row r="588" spans="1:33">
      <c r="A588" s="11"/>
      <c r="B588" s="10" t="s">
        <v>89</v>
      </c>
      <c r="C588" s="11"/>
      <c r="D588" s="11"/>
      <c r="E588" s="11"/>
      <c r="F588" s="12">
        <f>F487+F496</f>
        <v>24741</v>
      </c>
      <c r="G588" s="12">
        <f t="shared" ref="G588:AD588" si="464">G487+G496</f>
        <v>0</v>
      </c>
      <c r="H588" s="12">
        <f t="shared" si="464"/>
        <v>0</v>
      </c>
      <c r="I588" s="12">
        <f t="shared" si="464"/>
        <v>24741</v>
      </c>
      <c r="J588" s="12">
        <f t="shared" si="464"/>
        <v>0</v>
      </c>
      <c r="K588" s="12">
        <f t="shared" si="464"/>
        <v>7000</v>
      </c>
      <c r="L588" s="12">
        <f t="shared" si="464"/>
        <v>13091</v>
      </c>
      <c r="M588" s="12">
        <f t="shared" si="464"/>
        <v>4650</v>
      </c>
      <c r="N588" s="12">
        <f t="shared" si="464"/>
        <v>0</v>
      </c>
      <c r="O588" s="12">
        <f t="shared" si="464"/>
        <v>0</v>
      </c>
      <c r="P588" s="12">
        <f t="shared" si="464"/>
        <v>0</v>
      </c>
      <c r="Q588" s="12">
        <f t="shared" si="464"/>
        <v>0</v>
      </c>
      <c r="R588" s="126">
        <f t="shared" si="464"/>
        <v>0</v>
      </c>
      <c r="S588" s="12">
        <f t="shared" si="464"/>
        <v>0</v>
      </c>
      <c r="T588" s="12">
        <f t="shared" si="464"/>
        <v>0</v>
      </c>
      <c r="U588" s="12">
        <f t="shared" si="464"/>
        <v>0</v>
      </c>
      <c r="V588" s="12">
        <f t="shared" si="464"/>
        <v>0</v>
      </c>
      <c r="W588" s="12">
        <f t="shared" si="464"/>
        <v>0</v>
      </c>
      <c r="X588" s="12">
        <f t="shared" si="464"/>
        <v>0</v>
      </c>
      <c r="Y588" s="12">
        <f t="shared" si="464"/>
        <v>0</v>
      </c>
      <c r="Z588" s="12">
        <f t="shared" si="464"/>
        <v>0</v>
      </c>
      <c r="AA588" s="12">
        <f t="shared" si="464"/>
        <v>0</v>
      </c>
      <c r="AB588" s="12">
        <f t="shared" si="464"/>
        <v>0</v>
      </c>
      <c r="AC588" s="157">
        <f t="shared" si="464"/>
        <v>0</v>
      </c>
      <c r="AD588" s="157">
        <f t="shared" si="464"/>
        <v>0</v>
      </c>
      <c r="AE588" s="83"/>
      <c r="AF588" s="102"/>
      <c r="AG588" s="107"/>
    </row>
    <row r="589" spans="1:33">
      <c r="A589" s="11"/>
      <c r="B589" s="10" t="s">
        <v>305</v>
      </c>
      <c r="C589" s="11"/>
      <c r="D589" s="11"/>
      <c r="E589" s="11"/>
      <c r="F589" s="12">
        <f>F506</f>
        <v>78.722999999999999</v>
      </c>
      <c r="G589" s="12">
        <f t="shared" ref="G589:AD589" si="465">G506</f>
        <v>0</v>
      </c>
      <c r="H589" s="12">
        <f t="shared" si="465"/>
        <v>0</v>
      </c>
      <c r="I589" s="12">
        <f t="shared" si="465"/>
        <v>78.722999999999999</v>
      </c>
      <c r="J589" s="12">
        <f t="shared" si="465"/>
        <v>0</v>
      </c>
      <c r="K589" s="12">
        <f t="shared" si="465"/>
        <v>0</v>
      </c>
      <c r="L589" s="12">
        <f t="shared" si="465"/>
        <v>78.722999999999999</v>
      </c>
      <c r="M589" s="12">
        <f t="shared" si="465"/>
        <v>0</v>
      </c>
      <c r="N589" s="12">
        <f t="shared" si="465"/>
        <v>0</v>
      </c>
      <c r="O589" s="12">
        <f t="shared" si="465"/>
        <v>0</v>
      </c>
      <c r="P589" s="12">
        <f t="shared" si="465"/>
        <v>0</v>
      </c>
      <c r="Q589" s="12">
        <f t="shared" si="465"/>
        <v>0</v>
      </c>
      <c r="R589" s="126">
        <f t="shared" si="465"/>
        <v>0</v>
      </c>
      <c r="S589" s="12">
        <f t="shared" si="465"/>
        <v>0</v>
      </c>
      <c r="T589" s="12">
        <f t="shared" si="465"/>
        <v>0</v>
      </c>
      <c r="U589" s="12">
        <f t="shared" si="465"/>
        <v>0</v>
      </c>
      <c r="V589" s="12">
        <f t="shared" si="465"/>
        <v>0</v>
      </c>
      <c r="W589" s="12">
        <f t="shared" si="465"/>
        <v>0</v>
      </c>
      <c r="X589" s="12">
        <f t="shared" si="465"/>
        <v>0</v>
      </c>
      <c r="Y589" s="12">
        <f t="shared" si="465"/>
        <v>0</v>
      </c>
      <c r="Z589" s="12">
        <f t="shared" si="465"/>
        <v>0</v>
      </c>
      <c r="AA589" s="12">
        <f t="shared" si="465"/>
        <v>0</v>
      </c>
      <c r="AB589" s="12">
        <f t="shared" si="465"/>
        <v>0</v>
      </c>
      <c r="AC589" s="157">
        <f t="shared" si="465"/>
        <v>0</v>
      </c>
      <c r="AD589" s="157">
        <f t="shared" si="465"/>
        <v>0</v>
      </c>
      <c r="AF589" s="107"/>
      <c r="AG589" s="107"/>
    </row>
    <row r="590" spans="1:33">
      <c r="A590" s="11"/>
      <c r="B590" s="10" t="s">
        <v>39</v>
      </c>
      <c r="C590" s="11"/>
      <c r="D590" s="11"/>
      <c r="E590" s="11"/>
      <c r="F590" s="12">
        <v>0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6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57">
        <v>0</v>
      </c>
      <c r="AD590" s="157">
        <v>0</v>
      </c>
      <c r="AF590" s="107"/>
      <c r="AG590" s="107"/>
    </row>
  </sheetData>
  <sheetProtection password="D0D5" sheet="1" objects="1" scenarios="1" selectLockedCells="1" selectUnlockedCells="1"/>
  <mergeCells count="3">
    <mergeCell ref="A2:Z2"/>
    <mergeCell ref="A509:C509"/>
    <mergeCell ref="A366:B366"/>
  </mergeCells>
  <pageMargins left="0.47244094488188981" right="0.23622047244094491" top="0.55118110236220474" bottom="0.31496062992125984" header="0.31496062992125984" footer="0.31496062992125984"/>
  <pageSetup paperSize="9" scale="56" fitToHeight="12" orientation="landscape" horizontalDpi="4294967293" verticalDpi="4294967293" r:id="rId1"/>
  <headerFooter>
    <oddHeader>&amp;RI-czyt. Projekt budżetu 2020.</oddHeader>
  </headerFooter>
  <rowBreaks count="6" manualBreakCount="6">
    <brk id="80" max="28" man="1"/>
    <brk id="120" max="28" man="1"/>
    <brk id="170" max="28" man="1"/>
    <brk id="204" max="28" man="1"/>
    <brk id="337" max="28" man="1"/>
    <brk id="50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Grudzień 2019</vt:lpstr>
      <vt:lpstr>'Grudzień 2019'!Obszar_wydruku</vt:lpstr>
      <vt:lpstr>'Grudzień 2019'!Tytuły_wydruku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umbawo01</dc:creator>
  <cp:lastModifiedBy>umkahr01</cp:lastModifiedBy>
  <cp:lastPrinted>2019-11-25T13:46:15Z</cp:lastPrinted>
  <dcterms:created xsi:type="dcterms:W3CDTF">2017-07-17T09:01:09Z</dcterms:created>
  <dcterms:modified xsi:type="dcterms:W3CDTF">2020-02-04T11:45:24Z</dcterms:modified>
</cp:coreProperties>
</file>