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860" windowHeight="11595"/>
  </bookViews>
  <sheets>
    <sheet name="WPI GRUDZIEŃ" sheetId="1" r:id="rId1"/>
  </sheets>
  <externalReferences>
    <externalReference r:id="rId2"/>
    <externalReference r:id="rId3"/>
    <externalReference r:id="rId4"/>
  </externalReferences>
  <definedNames>
    <definedName name="_xlnm.Print_Area" localSheetId="0">'WPI GRUDZIEŃ'!$A$422:$AC$459</definedName>
    <definedName name="program">[1]Listy!$L$2:$L$18</definedName>
    <definedName name="realizacje">[1]Listy!$I$2:$I$13</definedName>
    <definedName name="robota">[1]Listy!$M$2:$M$5</definedName>
    <definedName name="tu" localSheetId="0">#REF!</definedName>
    <definedName name="tu">#REF!</definedName>
    <definedName name="_xlnm.Print_Titles" localSheetId="0">'WPI GRUDZIEŃ'!#REF!</definedName>
    <definedName name="ulica">[2]Listy!$H$2:$H$820</definedName>
    <definedName name="Z_06F84EAC_EC35_43D7_B269_DFC75F9F2120_.wvu.FilterData" localSheetId="0" hidden="1">'WPI GRUDZIEŃ'!#REF!</definedName>
    <definedName name="Z_0DF00089_17B2_459C_9EA2_2DAD554DE6B4_.wvu.FilterData" localSheetId="0" hidden="1">'WPI GRUDZIEŃ'!#REF!</definedName>
    <definedName name="Z_124ECDE6_0416_4BD2_AB8F_772BED097B34_.wvu.Cols" localSheetId="0" hidden="1">'WPI GRUDZIEŃ'!#REF!,'WPI GRUDZIEŃ'!$E:$N</definedName>
    <definedName name="Z_124ECDE6_0416_4BD2_AB8F_772BED097B34_.wvu.FilterData" localSheetId="0" hidden="1">'WPI GRUDZIEŃ'!#REF!</definedName>
    <definedName name="Z_124ECDE6_0416_4BD2_AB8F_772BED097B34_.wvu.PrintArea" localSheetId="0" hidden="1">'WPI GRUDZIEŃ'!$A$422:$AC$459</definedName>
    <definedName name="Z_124ECDE6_0416_4BD2_AB8F_772BED097B34_.wvu.PrintTitles" localSheetId="0" hidden="1">'WPI GRUDZIEŃ'!#REF!</definedName>
    <definedName name="Z_18AE6EAE_0F0A_4846_A69B_6F0A4ACCB07F_.wvu.Cols" localSheetId="0" hidden="1">'WPI GRUDZIEŃ'!$G:$M</definedName>
    <definedName name="Z_18AE6EAE_0F0A_4846_A69B_6F0A4ACCB07F_.wvu.FilterData" localSheetId="0" hidden="1">'WPI GRUDZIEŃ'!#REF!</definedName>
    <definedName name="Z_18AE6EAE_0F0A_4846_A69B_6F0A4ACCB07F_.wvu.PrintArea" localSheetId="0" hidden="1">'WPI GRUDZIEŃ'!$A$422:$AC$459</definedName>
    <definedName name="Z_18AE6EAE_0F0A_4846_A69B_6F0A4ACCB07F_.wvu.PrintTitles" localSheetId="0" hidden="1">'WPI GRUDZIEŃ'!#REF!</definedName>
    <definedName name="Z_18AE6EAE_0F0A_4846_A69B_6F0A4ACCB07F_.wvu.Rows" localSheetId="0" hidden="1">'WPI GRUDZIEŃ'!#REF!</definedName>
    <definedName name="Z_1D563E98_67DA_4930_BCB4_E95137148672_.wvu.FilterData" localSheetId="0" hidden="1">'WPI GRUDZIEŃ'!#REF!</definedName>
    <definedName name="Z_1ED37DBC_040A_47EE_86B1_3B37ACF94D9D_.wvu.Cols" localSheetId="0" hidden="1">'WPI GRUDZIEŃ'!$G:$M,'WPI GRUDZIEŃ'!$T:$AC</definedName>
    <definedName name="Z_1ED37DBC_040A_47EE_86B1_3B37ACF94D9D_.wvu.FilterData" localSheetId="0" hidden="1">'WPI GRUDZIEŃ'!#REF!</definedName>
    <definedName name="Z_1ED37DBC_040A_47EE_86B1_3B37ACF94D9D_.wvu.PrintArea" localSheetId="0" hidden="1">'WPI GRUDZIEŃ'!$A$422:$AC$459</definedName>
    <definedName name="Z_1ED37DBC_040A_47EE_86B1_3B37ACF94D9D_.wvu.PrintTitles" localSheetId="0" hidden="1">'WPI GRUDZIEŃ'!#REF!</definedName>
    <definedName name="Z_255F80E1_E844_4C26_9758_CAA07436D3FB_.wvu.FilterData" localSheetId="0" hidden="1">'WPI GRUDZIEŃ'!#REF!</definedName>
    <definedName name="Z_261D3FB1_A486_455D_989D_A9F6260DFF04_.wvu.FilterData" localSheetId="0" hidden="1">'WPI GRUDZIEŃ'!#REF!</definedName>
    <definedName name="Z_28464129_0C6E_4E40_B53B_0FEE17208A23_.wvu.FilterData" localSheetId="0" hidden="1">'WPI GRUDZIEŃ'!#REF!</definedName>
    <definedName name="Z_44BD51E1_0B0C_42B2_A39D_5E276D081234_.wvu.FilterData" localSheetId="0" hidden="1">'WPI GRUDZIEŃ'!#REF!</definedName>
    <definedName name="Z_45E6F39E_4ED4_4AA4_9904_F32A1BA25A49_.wvu.Cols" localSheetId="0" hidden="1">'WPI GRUDZIEŃ'!$G:$M</definedName>
    <definedName name="Z_45E6F39E_4ED4_4AA4_9904_F32A1BA25A49_.wvu.FilterData" localSheetId="0" hidden="1">'WPI GRUDZIEŃ'!#REF!</definedName>
    <definedName name="Z_45E6F39E_4ED4_4AA4_9904_F32A1BA25A49_.wvu.PrintArea" localSheetId="0" hidden="1">'WPI GRUDZIEŃ'!$A$422:$AC$459</definedName>
    <definedName name="Z_45E6F39E_4ED4_4AA4_9904_F32A1BA25A49_.wvu.PrintTitles" localSheetId="0" hidden="1">'WPI GRUDZIEŃ'!#REF!</definedName>
    <definedName name="Z_45E6F39E_4ED4_4AA4_9904_F32A1BA25A49_.wvu.Rows" localSheetId="0" hidden="1">'WPI GRUDZIEŃ'!#REF!</definedName>
    <definedName name="Z_4E1A5749_E53A_4B13_AA09_DAB23945C96A_.wvu.FilterData" localSheetId="0" hidden="1">'WPI GRUDZIEŃ'!#REF!</definedName>
    <definedName name="Z_561DBC5D_4ABD_407C_B3B6_ACB881D3070C_.wvu.FilterData" localSheetId="0" hidden="1">'WPI GRUDZIEŃ'!#REF!</definedName>
    <definedName name="Z_5ACDA0BD_147D_49E3_9A15_A23A596773A4_.wvu.FilterData" localSheetId="0" hidden="1">'WPI GRUDZIEŃ'!#REF!</definedName>
    <definedName name="Z_622CD6B2_EABB_423D_B695_132FE8E9456B_.wvu.FilterData" localSheetId="0" hidden="1">'WPI GRUDZIEŃ'!#REF!</definedName>
    <definedName name="Z_6282044C_3109_471C_997D_6C51CFB1B186_.wvu.FilterData" localSheetId="0" hidden="1">'WPI GRUDZIEŃ'!#REF!</definedName>
    <definedName name="Z_6320DD73_4FD5_4B0E_B58A_AB7519F0C416_.wvu.FilterData" localSheetId="0" hidden="1">'WPI GRUDZIEŃ'!#REF!</definedName>
    <definedName name="Z_641D90E0_61E0_45A7_845B_D5C7FBF9DA4D_.wvu.FilterData" localSheetId="0" hidden="1">'WPI GRUDZIEŃ'!#REF!</definedName>
    <definedName name="Z_74263916_58CE_48F8_90F1_4A247BE2F073_.wvu.FilterData" localSheetId="0" hidden="1">'WPI GRUDZIEŃ'!#REF!</definedName>
    <definedName name="Z_74B1D4ED_B3F7_4158_B82A_A899FB42A67D_.wvu.FilterData" localSheetId="0" hidden="1">'WPI GRUDZIEŃ'!#REF!</definedName>
    <definedName name="Z_75FF799D_77D1_49C2_9044_C3D3A4453E17_.wvu.FilterData" localSheetId="0" hidden="1">'WPI GRUDZIEŃ'!#REF!</definedName>
    <definedName name="Z_78CA28D9_2AE1_4ACE_90DA_3F97BC54FF6F_.wvu.Cols" localSheetId="0" hidden="1">'WPI GRUDZIEŃ'!$C:$M,'WPI GRUDZIEŃ'!$R:$R,'WPI GRUDZIEŃ'!$V:$AD</definedName>
    <definedName name="Z_78CA28D9_2AE1_4ACE_90DA_3F97BC54FF6F_.wvu.FilterData" localSheetId="0" hidden="1">'WPI GRUDZIEŃ'!#REF!</definedName>
    <definedName name="Z_78CA28D9_2AE1_4ACE_90DA_3F97BC54FF6F_.wvu.PrintArea" localSheetId="0" hidden="1">'WPI GRUDZIEŃ'!$A$422:$AC$459</definedName>
    <definedName name="Z_78CA28D9_2AE1_4ACE_90DA_3F97BC54FF6F_.wvu.PrintTitles" localSheetId="0" hidden="1">'WPI GRUDZIEŃ'!#REF!</definedName>
    <definedName name="Z_7CA34A95_389A_4EA3_918E_9AAC640F061C_.wvu.FilterData" localSheetId="0" hidden="1">'WPI GRUDZIEŃ'!#REF!</definedName>
    <definedName name="Z_7E504180_F6EF_425C_BA88_31A7DF023E5D_.wvu.Cols" localSheetId="0" hidden="1">'WPI GRUDZIEŃ'!$G:$M</definedName>
    <definedName name="Z_7E504180_F6EF_425C_BA88_31A7DF023E5D_.wvu.FilterData" localSheetId="0" hidden="1">'WPI GRUDZIEŃ'!#REF!</definedName>
    <definedName name="Z_7E504180_F6EF_425C_BA88_31A7DF023E5D_.wvu.PrintArea" localSheetId="0" hidden="1">'WPI GRUDZIEŃ'!$A$422:$AC$459</definedName>
    <definedName name="Z_7E504180_F6EF_425C_BA88_31A7DF023E5D_.wvu.PrintTitles" localSheetId="0" hidden="1">'WPI GRUDZIEŃ'!#REF!</definedName>
    <definedName name="Z_7E504180_F6EF_425C_BA88_31A7DF023E5D_.wvu.Rows" localSheetId="0" hidden="1">'WPI GRUDZIEŃ'!#REF!</definedName>
    <definedName name="Z_8B66C9B8_A46F_4A03_89E7_1BD0A970B702_.wvu.FilterData" localSheetId="0" hidden="1">'WPI GRUDZIEŃ'!#REF!</definedName>
    <definedName name="Z_9E77179B_0CD2_4DA2_B9A0_06F968CBA761_.wvu.FilterData" localSheetId="0" hidden="1">'WPI GRUDZIEŃ'!#REF!</definedName>
    <definedName name="Z_A2DE4D84_A068_4462_B7CA_B8F47B198432_.wvu.FilterData" localSheetId="0" hidden="1">'WPI GRUDZIEŃ'!#REF!</definedName>
    <definedName name="Z_AC51F7A4_7A3C_47AA_AA5E_FCF324CC67A2_.wvu.FilterData" localSheetId="0" hidden="1">'WPI GRUDZIEŃ'!#REF!</definedName>
    <definedName name="Z_B42F8F5A_FB74_4DD3_9E76_C2EFE9A89D93_.wvu.FilterData" localSheetId="0" hidden="1">'WPI GRUDZIEŃ'!#REF!</definedName>
    <definedName name="Z_BC68EDFF_680D_4B6B_A8C5_99CA8B5FCA8D_.wvu.FilterData" localSheetId="0" hidden="1">'WPI GRUDZIEŃ'!#REF!</definedName>
    <definedName name="Z_BEAA7B2E_C361_4F67_8E31_BED3C841E2B7_.wvu.Cols" localSheetId="0" hidden="1">'WPI GRUDZIEŃ'!$G:$M</definedName>
    <definedName name="Z_BEAA7B2E_C361_4F67_8E31_BED3C841E2B7_.wvu.FilterData" localSheetId="0" hidden="1">'WPI GRUDZIEŃ'!#REF!</definedName>
    <definedName name="Z_BEAA7B2E_C361_4F67_8E31_BED3C841E2B7_.wvu.PrintArea" localSheetId="0" hidden="1">'WPI GRUDZIEŃ'!$A$422:$AC$459</definedName>
    <definedName name="Z_BEAA7B2E_C361_4F67_8E31_BED3C841E2B7_.wvu.PrintTitles" localSheetId="0" hidden="1">'WPI GRUDZIEŃ'!#REF!</definedName>
    <definedName name="Z_C7980F38_D8B1_49F9_BC07_CAD2F4946CCE_.wvu.FilterData" localSheetId="0" hidden="1">'WPI GRUDZIEŃ'!#REF!</definedName>
    <definedName name="Z_D3356158_33EE_488B_AF6F_AB65C0C47B1F_.wvu.Cols" localSheetId="0" hidden="1">'WPI GRUDZIEŃ'!$G:$M</definedName>
    <definedName name="Z_D3356158_33EE_488B_AF6F_AB65C0C47B1F_.wvu.FilterData" localSheetId="0" hidden="1">'WPI GRUDZIEŃ'!#REF!</definedName>
    <definedName name="Z_D3356158_33EE_488B_AF6F_AB65C0C47B1F_.wvu.PrintArea" localSheetId="0" hidden="1">'WPI GRUDZIEŃ'!$A$422:$AC$459</definedName>
    <definedName name="Z_D3356158_33EE_488B_AF6F_AB65C0C47B1F_.wvu.PrintTitles" localSheetId="0" hidden="1">'WPI GRUDZIEŃ'!#REF!</definedName>
    <definedName name="Z_D3356158_33EE_488B_AF6F_AB65C0C47B1F_.wvu.Rows" localSheetId="0" hidden="1">'WPI GRUDZIEŃ'!#REF!</definedName>
    <definedName name="Z_D4E173A6_49EB_41CC_9C0A_D404BAF249D6_.wvu.FilterData" localSheetId="0" hidden="1">'WPI GRUDZIEŃ'!#REF!</definedName>
    <definedName name="Z_D5B760DC_68D8_4D95_AA14_8CE3495880C4_.wvu.FilterData" localSheetId="0" hidden="1">'WPI GRUDZIEŃ'!#REF!</definedName>
    <definedName name="Z_D7B60B91_AC8B_489B_A8A0_809CDF29D311_.wvu.FilterData" localSheetId="0" hidden="1">'WPI GRUDZIEŃ'!#REF!</definedName>
    <definedName name="Z_E0609211_78AB_49EF_890C_700AC9D36227_.wvu.Cols" localSheetId="0" hidden="1">'WPI GRUDZIEŃ'!$G:$M</definedName>
    <definedName name="Z_E0609211_78AB_49EF_890C_700AC9D36227_.wvu.FilterData" localSheetId="0" hidden="1">'WPI GRUDZIEŃ'!#REF!</definedName>
    <definedName name="Z_E0609211_78AB_49EF_890C_700AC9D36227_.wvu.PrintArea" localSheetId="0" hidden="1">'WPI GRUDZIEŃ'!$A$422:$AC$459</definedName>
    <definedName name="Z_E0609211_78AB_49EF_890C_700AC9D36227_.wvu.PrintTitles" localSheetId="0" hidden="1">'WPI GRUDZIEŃ'!#REF!</definedName>
    <definedName name="Z_E0609211_78AB_49EF_890C_700AC9D36227_.wvu.Rows" localSheetId="0" hidden="1">'WPI GRUDZIEŃ'!#REF!</definedName>
    <definedName name="Z_E1E28E9E_2575_4B1E_8EB1_0C7D46C9E3DB_.wvu.FilterData" localSheetId="0" hidden="1">'WPI GRUDZIEŃ'!#REF!</definedName>
    <definedName name="Z_E665B884_3974_4E9F_8D9E_E3411BF800A1_.wvu.FilterData" localSheetId="0" hidden="1">'WPI GRUDZIEŃ'!#REF!</definedName>
    <definedName name="Z_EC7E13EC_9DCC_4BB2_967D_33F6EC8497DD_.wvu.FilterData" localSheetId="0" hidden="1">'WPI GRUDZIEŃ'!#REF!</definedName>
    <definedName name="Z_ED211EBA_E518_4C0C_BCC8_BA697CDE1468_.wvu.Cols" localSheetId="0" hidden="1">'WPI GRUDZIEŃ'!$G:$M,'WPI GRUDZIEŃ'!$T:$AC</definedName>
    <definedName name="Z_ED211EBA_E518_4C0C_BCC8_BA697CDE1468_.wvu.FilterData" localSheetId="0" hidden="1">'WPI GRUDZIEŃ'!#REF!</definedName>
    <definedName name="Z_ED211EBA_E518_4C0C_BCC8_BA697CDE1468_.wvu.PrintArea" localSheetId="0" hidden="1">'WPI GRUDZIEŃ'!$A$422:$AC$459</definedName>
    <definedName name="Z_ED211EBA_E518_4C0C_BCC8_BA697CDE1468_.wvu.PrintTitles" localSheetId="0" hidden="1">'WPI GRUDZIEŃ'!#REF!</definedName>
    <definedName name="Z_EEE14ED7_0CE7_43C8_BEEB_7117C281A937_.wvu.FilterData" localSheetId="0" hidden="1">'WPI GRUDZIEŃ'!#REF!</definedName>
    <definedName name="Z_EFA0CEEF_F50B_402F_B4E2_5395EC6B77DB_.wvu.FilterData" localSheetId="0" hidden="1">'WPI GRUDZIEŃ'!#REF!</definedName>
    <definedName name="Z_F04D79BF_DD3E_4A5A_B954_46E249745B11_.wvu.Cols" localSheetId="0" hidden="1">'WPI GRUDZIEŃ'!$C:$M,'WPI GRUDZIEŃ'!$V:$AD</definedName>
    <definedName name="Z_F04D79BF_DD3E_4A5A_B954_46E249745B11_.wvu.FilterData" localSheetId="0" hidden="1">'WPI GRUDZIEŃ'!#REF!</definedName>
    <definedName name="Z_F04D79BF_DD3E_4A5A_B954_46E249745B11_.wvu.PrintArea" localSheetId="0" hidden="1">'WPI GRUDZIEŃ'!$A$422:$AC$459</definedName>
    <definedName name="Z_F04D79BF_DD3E_4A5A_B954_46E249745B11_.wvu.PrintTitles" localSheetId="0" hidden="1">'WPI GRUDZIEŃ'!#REF!</definedName>
    <definedName name="Z_F303E5FC_F7BE_48B2_AF1A_6402ED48E307_.wvu.FilterData" localSheetId="0" hidden="1">'WPI GRUDZIEŃ'!#REF!</definedName>
    <definedName name="Z_F3BAF276_7867_4DBA_8B3D_BE93468BEEC8_.wvu.Cols" localSheetId="0" hidden="1">'WPI GRUDZIEŃ'!$C:$M,'WPI GRUDZIEŃ'!$R:$R</definedName>
    <definedName name="Z_F3BAF276_7867_4DBA_8B3D_BE93468BEEC8_.wvu.FilterData" localSheetId="0" hidden="1">'WPI GRUDZIEŃ'!#REF!</definedName>
    <definedName name="Z_F3BAF276_7867_4DBA_8B3D_BE93468BEEC8_.wvu.PrintArea" localSheetId="0" hidden="1">'WPI GRUDZIEŃ'!$A$422:$AC$459</definedName>
    <definedName name="Z_F3BAF276_7867_4DBA_8B3D_BE93468BEEC8_.wvu.PrintTitles" localSheetId="0" hidden="1">'WPI GRUDZIEŃ'!#REF!</definedName>
    <definedName name="Z_FBCA4904_57A4_4364_89E1_75F2C9F7D5EB_.wvu.FilterData" localSheetId="0" hidden="1">#REF!</definedName>
    <definedName name="Z_FBCA4904_57A4_4364_89E1_75F2C9F7D5EB_.wvu.FilterData" hidden="1">#REF!</definedName>
    <definedName name="Z_FBCA4904_57A4_4364_89E1_75F2C9F7D5EB_.wvu.PrintArea" localSheetId="0" hidden="1">#REF!</definedName>
    <definedName name="Z_FBCA4904_57A4_4364_89E1_75F2C9F7D5EB_.wvu.PrintArea" hidden="1">#REF!</definedName>
    <definedName name="Z_FBCA4904_57A4_4364_89E1_75F2C9F7D5EB_.wvu.PrintTitles" localSheetId="0" hidden="1">#REF!</definedName>
    <definedName name="Z_FBCA4904_57A4_4364_89E1_75F2C9F7D5EB_.wvu.PrintTitles" hidden="1">#REF!</definedName>
    <definedName name="Z_FBCA4904_57A4_4364_89E1_75F2C9F7D5EB_.wvu.Rows" localSheetId="0" hidden="1">#REF!</definedName>
    <definedName name="Z_FBCA4904_57A4_4364_89E1_75F2C9F7D5EB_.wvu.Rows" hidden="1">#REF!</definedName>
  </definedNames>
  <calcPr calcId="124519"/>
  <customWorkbookViews>
    <customWorkbookView name="umkahr01 - Widok osobisty" guid="{18AE6EAE-0F0A-4846-A69B-6F0A4ACCB07F}" mergeInterval="0" personalView="1" maximized="1" xWindow="1" yWindow="1" windowWidth="1920" windowHeight="851" activeSheetId="2"/>
    <customWorkbookView name="umilni01 - Widok osobisty" guid="{124ECDE6-0416-4BD2-AB8F-772BED097B34}" mergeInterval="0" personalView="1" maximized="1" xWindow="1" yWindow="1" windowWidth="1916" windowHeight="828" activeSheetId="2" showComments="commIndAndComment"/>
    <customWorkbookView name="umjoku02 - Widok osobisty" guid="{45E6F39E-4ED4-4AA4-9904-F32A1BA25A49}" mergeInterval="0" personalView="1" maximized="1" xWindow="1" yWindow="1" windowWidth="1920" windowHeight="851" activeSheetId="2" showComments="commIndAndComment"/>
    <customWorkbookView name="ummama04 - Widok osobisty" guid="{1ED37DBC-040A-47EE-86B1-3B37ACF94D9D}" mergeInterval="0" personalView="1" maximized="1" xWindow="1" yWindow="1" windowWidth="1916" windowHeight="851" activeSheetId="2"/>
    <customWorkbookView name="umjoni01 - Widok osobisty" guid="{78CA28D9-2AE1-4ACE-90DA-3F97BC54FF6F}" mergeInterval="0" personalView="1" maximized="1" xWindow="1" yWindow="1" windowWidth="1920" windowHeight="851" activeSheetId="2"/>
    <customWorkbookView name="umelur01 - Widok osobisty" guid="{F04D79BF-DD3E-4A5A-B954-46E249745B11}" mergeInterval="0" personalView="1" maximized="1" xWindow="1" yWindow="1" windowWidth="1280" windowHeight="860" activeSheetId="2"/>
    <customWorkbookView name="umewka02 - Widok osobisty" guid="{BEAA7B2E-C361-4F67-8E31-BED3C841E2B7}" mergeInterval="0" personalView="1" maximized="1" xWindow="1" yWindow="1" windowWidth="1916" windowHeight="851" activeSheetId="2"/>
    <customWorkbookView name="umwiwi01 - Widok osobisty" guid="{7E504180-F6EF-425C-BA88-31A7DF023E5D}" mergeInterval="0" personalView="1" maximized="1" xWindow="1" yWindow="1" windowWidth="1920" windowHeight="851" activeSheetId="2"/>
    <customWorkbookView name="umalwa01 - Widok osobisty" guid="{ED211EBA-E518-4C0C-BCC8-BA697CDE1468}" mergeInterval="0" personalView="1" maximized="1" xWindow="1" yWindow="1" windowWidth="1920" windowHeight="851" activeSheetId="2"/>
  </customWorkbookViews>
  <fileRecoveryPr autoRecover="0"/>
</workbook>
</file>

<file path=xl/calcChain.xml><?xml version="1.0" encoding="utf-8"?>
<calcChain xmlns="http://schemas.openxmlformats.org/spreadsheetml/2006/main">
  <c r="N171" i="1"/>
  <c r="O26" l="1"/>
  <c r="N26"/>
  <c r="Q226" l="1"/>
  <c r="N151" l="1"/>
  <c r="N104" l="1"/>
  <c r="N353" l="1"/>
  <c r="O350"/>
  <c r="P350"/>
  <c r="Q350"/>
  <c r="R350"/>
  <c r="S350"/>
  <c r="T350"/>
  <c r="U350"/>
  <c r="V350"/>
  <c r="W350"/>
  <c r="X350"/>
  <c r="Y350"/>
  <c r="Z350"/>
  <c r="AA350"/>
  <c r="AB350"/>
  <c r="AC350"/>
  <c r="N350"/>
  <c r="O349"/>
  <c r="P349"/>
  <c r="Q349"/>
  <c r="R349"/>
  <c r="S349"/>
  <c r="T349"/>
  <c r="U349"/>
  <c r="V349"/>
  <c r="W349"/>
  <c r="X349"/>
  <c r="Y349"/>
  <c r="Z349"/>
  <c r="AA349"/>
  <c r="AB349"/>
  <c r="AC349"/>
  <c r="N349"/>
  <c r="AD8"/>
  <c r="R25"/>
  <c r="R179"/>
  <c r="R373" s="1"/>
  <c r="R372" s="1"/>
  <c r="R219"/>
  <c r="R221"/>
  <c r="R223"/>
  <c r="R245"/>
  <c r="R244" s="1"/>
  <c r="R247"/>
  <c r="R248"/>
  <c r="R250"/>
  <c r="R251"/>
  <c r="R254"/>
  <c r="R256"/>
  <c r="R257"/>
  <c r="R289"/>
  <c r="R351"/>
  <c r="R352"/>
  <c r="R353"/>
  <c r="R355"/>
  <c r="R356"/>
  <c r="R357"/>
  <c r="R358"/>
  <c r="R359"/>
  <c r="R361"/>
  <c r="R362"/>
  <c r="R365"/>
  <c r="R367"/>
  <c r="R368"/>
  <c r="R371"/>
  <c r="R379"/>
  <c r="R380"/>
  <c r="R391"/>
  <c r="R392"/>
  <c r="R393"/>
  <c r="R397"/>
  <c r="R396" s="1"/>
  <c r="R405"/>
  <c r="R406"/>
  <c r="R408"/>
  <c r="R411"/>
  <c r="R412"/>
  <c r="R417"/>
  <c r="R418"/>
  <c r="R419"/>
  <c r="R420"/>
  <c r="AD11"/>
  <c r="AD13"/>
  <c r="AD14"/>
  <c r="AD15"/>
  <c r="AD17"/>
  <c r="AD18"/>
  <c r="AD19"/>
  <c r="AD20"/>
  <c r="AD21"/>
  <c r="AD23"/>
  <c r="AD24"/>
  <c r="AD26"/>
  <c r="AD27"/>
  <c r="AD29"/>
  <c r="AD30"/>
  <c r="AD32"/>
  <c r="AD34"/>
  <c r="AD35"/>
  <c r="AD36"/>
  <c r="AD38"/>
  <c r="AD39"/>
  <c r="AD40"/>
  <c r="AD42"/>
  <c r="AD43"/>
  <c r="AD44"/>
  <c r="AD45"/>
  <c r="AD351" s="1"/>
  <c r="AD46"/>
  <c r="AD48"/>
  <c r="AD47" s="1"/>
  <c r="AD50"/>
  <c r="AD51"/>
  <c r="AD53"/>
  <c r="AD54"/>
  <c r="AD56"/>
  <c r="AD57"/>
  <c r="AD59"/>
  <c r="AD60"/>
  <c r="AD62"/>
  <c r="AD63"/>
  <c r="AD65"/>
  <c r="AD66"/>
  <c r="AD68"/>
  <c r="AD69"/>
  <c r="AD71"/>
  <c r="AD73"/>
  <c r="AD74"/>
  <c r="AD76"/>
  <c r="AD77"/>
  <c r="AD78"/>
  <c r="AD80"/>
  <c r="AD81"/>
  <c r="AD82"/>
  <c r="AD84"/>
  <c r="AD85"/>
  <c r="AD86"/>
  <c r="AD88"/>
  <c r="AD89"/>
  <c r="AD91"/>
  <c r="AD92"/>
  <c r="AD94"/>
  <c r="AD96"/>
  <c r="AD98"/>
  <c r="AD99"/>
  <c r="AD101"/>
  <c r="AD102"/>
  <c r="AD104"/>
  <c r="AD105"/>
  <c r="AD107"/>
  <c r="AD108"/>
  <c r="AD109"/>
  <c r="AD110"/>
  <c r="AD112"/>
  <c r="AD113"/>
  <c r="AD114"/>
  <c r="AD116"/>
  <c r="AD117"/>
  <c r="AD119"/>
  <c r="AD120"/>
  <c r="AD122"/>
  <c r="AD123"/>
  <c r="AD125"/>
  <c r="AD126"/>
  <c r="AD128"/>
  <c r="AD129"/>
  <c r="AD131"/>
  <c r="AD132"/>
  <c r="AD134"/>
  <c r="AD135"/>
  <c r="AD138"/>
  <c r="AD139"/>
  <c r="AD140"/>
  <c r="AD142"/>
  <c r="AD144"/>
  <c r="AD146"/>
  <c r="AD147"/>
  <c r="AD149"/>
  <c r="AD151"/>
  <c r="AD152"/>
  <c r="AD153"/>
  <c r="AD154"/>
  <c r="AD365" s="1"/>
  <c r="AD155"/>
  <c r="AD156"/>
  <c r="AD157"/>
  <c r="AD362" s="1"/>
  <c r="AD159"/>
  <c r="AD160"/>
  <c r="AD162"/>
  <c r="AD164"/>
  <c r="AD165"/>
  <c r="AD166"/>
  <c r="AD371" s="1"/>
  <c r="AD167"/>
  <c r="AD168"/>
  <c r="AD169"/>
  <c r="AD171"/>
  <c r="AD172"/>
  <c r="AD177"/>
  <c r="AD180"/>
  <c r="AD182"/>
  <c r="AD184"/>
  <c r="AD185"/>
  <c r="AD186"/>
  <c r="AD187"/>
  <c r="AD188"/>
  <c r="AD189"/>
  <c r="AD190"/>
  <c r="AD191"/>
  <c r="AD193"/>
  <c r="AD194"/>
  <c r="AD196"/>
  <c r="AD197"/>
  <c r="AD199"/>
  <c r="AD200"/>
  <c r="AD202"/>
  <c r="AD203"/>
  <c r="AD205"/>
  <c r="AD206"/>
  <c r="AD208"/>
  <c r="AD209"/>
  <c r="AD211"/>
  <c r="AD212"/>
  <c r="AD214"/>
  <c r="AD216"/>
  <c r="AD217"/>
  <c r="AD224"/>
  <c r="AD226"/>
  <c r="AD227"/>
  <c r="AD228"/>
  <c r="AD393" s="1"/>
  <c r="AD230"/>
  <c r="AD231"/>
  <c r="AD233"/>
  <c r="AD234"/>
  <c r="AD236"/>
  <c r="AD237"/>
  <c r="AD239"/>
  <c r="AD240"/>
  <c r="AD242"/>
  <c r="AD397" s="1"/>
  <c r="AD396" s="1"/>
  <c r="AD243"/>
  <c r="AD258"/>
  <c r="AD260"/>
  <c r="AD261"/>
  <c r="AD263"/>
  <c r="AD264"/>
  <c r="AD266"/>
  <c r="AD267"/>
  <c r="AD269"/>
  <c r="AD270"/>
  <c r="AD272"/>
  <c r="AD273"/>
  <c r="AD275"/>
  <c r="AD276"/>
  <c r="AD278"/>
  <c r="AD279"/>
  <c r="AD281"/>
  <c r="AD283"/>
  <c r="AD285"/>
  <c r="AD287"/>
  <c r="AD288"/>
  <c r="AD290"/>
  <c r="AD292"/>
  <c r="AD293"/>
  <c r="AD295"/>
  <c r="AD296"/>
  <c r="AD298"/>
  <c r="AD300"/>
  <c r="AD302"/>
  <c r="AD304"/>
  <c r="AD306"/>
  <c r="AD307"/>
  <c r="AD308"/>
  <c r="AD309"/>
  <c r="AD310"/>
  <c r="AD312"/>
  <c r="AD313"/>
  <c r="AD315"/>
  <c r="AD317"/>
  <c r="AD318"/>
  <c r="AD320"/>
  <c r="AD322"/>
  <c r="AD323"/>
  <c r="AD325"/>
  <c r="AD326"/>
  <c r="AD328"/>
  <c r="AD330"/>
  <c r="AD332"/>
  <c r="AD333"/>
  <c r="AD335"/>
  <c r="AD336"/>
  <c r="AD420" s="1"/>
  <c r="AD337"/>
  <c r="AD357"/>
  <c r="AD374"/>
  <c r="AD382"/>
  <c r="AD409"/>
  <c r="S321"/>
  <c r="O321"/>
  <c r="P321"/>
  <c r="Q321"/>
  <c r="N321"/>
  <c r="O324"/>
  <c r="P324"/>
  <c r="Q324"/>
  <c r="N324"/>
  <c r="O331"/>
  <c r="P331"/>
  <c r="Q331"/>
  <c r="N331"/>
  <c r="V334"/>
  <c r="U334"/>
  <c r="T334"/>
  <c r="S334"/>
  <c r="O334"/>
  <c r="P334"/>
  <c r="Q334"/>
  <c r="N334"/>
  <c r="Q329"/>
  <c r="P329"/>
  <c r="O329"/>
  <c r="N329"/>
  <c r="Q327"/>
  <c r="P327"/>
  <c r="O327"/>
  <c r="N327"/>
  <c r="S319"/>
  <c r="O319"/>
  <c r="P319"/>
  <c r="Q319"/>
  <c r="N319"/>
  <c r="O311"/>
  <c r="P311"/>
  <c r="Q311"/>
  <c r="N311"/>
  <c r="O305"/>
  <c r="P305"/>
  <c r="Q305"/>
  <c r="N305"/>
  <c r="Q316"/>
  <c r="P316"/>
  <c r="O316"/>
  <c r="N316"/>
  <c r="Q314"/>
  <c r="P314"/>
  <c r="O314"/>
  <c r="N314"/>
  <c r="Q303"/>
  <c r="P303"/>
  <c r="O303"/>
  <c r="N303"/>
  <c r="Q301"/>
  <c r="P301"/>
  <c r="O301"/>
  <c r="Q299"/>
  <c r="P299"/>
  <c r="O299"/>
  <c r="N301"/>
  <c r="N299"/>
  <c r="O297"/>
  <c r="P297"/>
  <c r="Q297"/>
  <c r="N297"/>
  <c r="O294"/>
  <c r="P294"/>
  <c r="Q294"/>
  <c r="N294"/>
  <c r="Q280"/>
  <c r="P280"/>
  <c r="O280"/>
  <c r="N280"/>
  <c r="AC282"/>
  <c r="AB282"/>
  <c r="AA282"/>
  <c r="Z282"/>
  <c r="Y282"/>
  <c r="X282"/>
  <c r="W282"/>
  <c r="T282"/>
  <c r="S282"/>
  <c r="Q282"/>
  <c r="P282"/>
  <c r="O282"/>
  <c r="N282"/>
  <c r="AC284"/>
  <c r="AB284"/>
  <c r="AA284"/>
  <c r="Z284"/>
  <c r="Y284"/>
  <c r="X284"/>
  <c r="W284"/>
  <c r="V284"/>
  <c r="U284"/>
  <c r="T284"/>
  <c r="S284"/>
  <c r="Q284"/>
  <c r="P284"/>
  <c r="O284"/>
  <c r="N284"/>
  <c r="AC289"/>
  <c r="AB289"/>
  <c r="AA289"/>
  <c r="Z289"/>
  <c r="Y289"/>
  <c r="X289"/>
  <c r="W289"/>
  <c r="V289"/>
  <c r="U289"/>
  <c r="T289"/>
  <c r="S289"/>
  <c r="P289"/>
  <c r="AD289" s="1"/>
  <c r="O289"/>
  <c r="N289"/>
  <c r="AC291"/>
  <c r="AB291"/>
  <c r="AA291"/>
  <c r="Z291"/>
  <c r="Y291"/>
  <c r="X291"/>
  <c r="W291"/>
  <c r="V291"/>
  <c r="U291"/>
  <c r="T291"/>
  <c r="S291"/>
  <c r="Q291"/>
  <c r="P291"/>
  <c r="O291"/>
  <c r="N291"/>
  <c r="AC286"/>
  <c r="AB286"/>
  <c r="AA286"/>
  <c r="Z286"/>
  <c r="Y286"/>
  <c r="X286"/>
  <c r="W286"/>
  <c r="V286"/>
  <c r="U286"/>
  <c r="T286"/>
  <c r="S286"/>
  <c r="Q286"/>
  <c r="P286"/>
  <c r="O286"/>
  <c r="N286"/>
  <c r="AC277"/>
  <c r="AB277"/>
  <c r="AA277"/>
  <c r="Z277"/>
  <c r="Y277"/>
  <c r="X277"/>
  <c r="W277"/>
  <c r="V277"/>
  <c r="U277"/>
  <c r="T277"/>
  <c r="S277"/>
  <c r="Q277"/>
  <c r="P277"/>
  <c r="O277"/>
  <c r="N277"/>
  <c r="AC274"/>
  <c r="AB274"/>
  <c r="AA274"/>
  <c r="Z274"/>
  <c r="Y274"/>
  <c r="X274"/>
  <c r="W274"/>
  <c r="V274"/>
  <c r="U274"/>
  <c r="T274"/>
  <c r="S274"/>
  <c r="Q274"/>
  <c r="P274"/>
  <c r="O274"/>
  <c r="N274"/>
  <c r="AC271"/>
  <c r="AB271"/>
  <c r="AA271"/>
  <c r="Z271"/>
  <c r="Y271"/>
  <c r="X271"/>
  <c r="W271"/>
  <c r="V271"/>
  <c r="U271"/>
  <c r="T271"/>
  <c r="S271"/>
  <c r="Q271"/>
  <c r="P271"/>
  <c r="O271"/>
  <c r="N271"/>
  <c r="AC268"/>
  <c r="AB268"/>
  <c r="AA268"/>
  <c r="Z268"/>
  <c r="Y268"/>
  <c r="X268"/>
  <c r="W268"/>
  <c r="V268"/>
  <c r="U268"/>
  <c r="T268"/>
  <c r="S268"/>
  <c r="Q268"/>
  <c r="P268"/>
  <c r="O268"/>
  <c r="N268"/>
  <c r="AC265"/>
  <c r="AB265"/>
  <c r="AA265"/>
  <c r="Z265"/>
  <c r="Y265"/>
  <c r="X265"/>
  <c r="W265"/>
  <c r="V265"/>
  <c r="U265"/>
  <c r="T265"/>
  <c r="S265"/>
  <c r="Q265"/>
  <c r="P265"/>
  <c r="O265"/>
  <c r="N265"/>
  <c r="AC262"/>
  <c r="AB262"/>
  <c r="AA262"/>
  <c r="Z262"/>
  <c r="Y262"/>
  <c r="X262"/>
  <c r="W262"/>
  <c r="V262"/>
  <c r="U262"/>
  <c r="T262"/>
  <c r="S262"/>
  <c r="Q262"/>
  <c r="P262"/>
  <c r="O262"/>
  <c r="N262"/>
  <c r="Q259"/>
  <c r="P259"/>
  <c r="O259"/>
  <c r="N259"/>
  <c r="Q255"/>
  <c r="P255"/>
  <c r="O255"/>
  <c r="Q252"/>
  <c r="P252"/>
  <c r="O252"/>
  <c r="Q249"/>
  <c r="P249"/>
  <c r="O249"/>
  <c r="N255"/>
  <c r="N252"/>
  <c r="N249"/>
  <c r="O246"/>
  <c r="P246"/>
  <c r="Q246"/>
  <c r="N246"/>
  <c r="O244"/>
  <c r="P244"/>
  <c r="Q244"/>
  <c r="N244"/>
  <c r="O238"/>
  <c r="P238"/>
  <c r="Q238"/>
  <c r="N238"/>
  <c r="O235"/>
  <c r="P235"/>
  <c r="Q235"/>
  <c r="N235"/>
  <c r="O232"/>
  <c r="P232"/>
  <c r="Q232"/>
  <c r="N232"/>
  <c r="O229"/>
  <c r="P229"/>
  <c r="Q229"/>
  <c r="N229"/>
  <c r="O225"/>
  <c r="P225"/>
  <c r="Q225"/>
  <c r="N225"/>
  <c r="AC210"/>
  <c r="AB210"/>
  <c r="AA210"/>
  <c r="Z210"/>
  <c r="Y210"/>
  <c r="X210"/>
  <c r="W210"/>
  <c r="V210"/>
  <c r="U210"/>
  <c r="T210"/>
  <c r="S210"/>
  <c r="Q210"/>
  <c r="P210"/>
  <c r="O210"/>
  <c r="N210"/>
  <c r="AC207"/>
  <c r="AB207"/>
  <c r="AA207"/>
  <c r="Z207"/>
  <c r="Y207"/>
  <c r="X207"/>
  <c r="W207"/>
  <c r="V207"/>
  <c r="U207"/>
  <c r="T207"/>
  <c r="S207"/>
  <c r="Q207"/>
  <c r="P207"/>
  <c r="O207"/>
  <c r="N207"/>
  <c r="AC204"/>
  <c r="AB204"/>
  <c r="AA204"/>
  <c r="Z204"/>
  <c r="Y204"/>
  <c r="X204"/>
  <c r="W204"/>
  <c r="V204"/>
  <c r="U204"/>
  <c r="T204"/>
  <c r="S204"/>
  <c r="Q204"/>
  <c r="P204"/>
  <c r="O204"/>
  <c r="N204"/>
  <c r="AC201"/>
  <c r="AB201"/>
  <c r="AA201"/>
  <c r="Z201"/>
  <c r="Y201"/>
  <c r="X201"/>
  <c r="W201"/>
  <c r="V201"/>
  <c r="U201"/>
  <c r="T201"/>
  <c r="S201"/>
  <c r="Q201"/>
  <c r="P201"/>
  <c r="O201"/>
  <c r="N201"/>
  <c r="AC198"/>
  <c r="AB198"/>
  <c r="AA198"/>
  <c r="Z198"/>
  <c r="Y198"/>
  <c r="X198"/>
  <c r="W198"/>
  <c r="V198"/>
  <c r="U198"/>
  <c r="T198"/>
  <c r="S198"/>
  <c r="Q198"/>
  <c r="P198"/>
  <c r="O198"/>
  <c r="N198"/>
  <c r="R360" l="1"/>
  <c r="R348"/>
  <c r="AD418"/>
  <c r="R378"/>
  <c r="AD314"/>
  <c r="AD334"/>
  <c r="AD331"/>
  <c r="AD324"/>
  <c r="AD321"/>
  <c r="AD192"/>
  <c r="AD55"/>
  <c r="R416"/>
  <c r="R366"/>
  <c r="R385"/>
  <c r="R384" s="1"/>
  <c r="AD405"/>
  <c r="AD259"/>
  <c r="R410"/>
  <c r="R354"/>
  <c r="AD262"/>
  <c r="AD274"/>
  <c r="AD198"/>
  <c r="AD210"/>
  <c r="AD297"/>
  <c r="AD305"/>
  <c r="AD311"/>
  <c r="AD319"/>
  <c r="R404"/>
  <c r="R390"/>
  <c r="R346"/>
  <c r="R347"/>
  <c r="R400"/>
  <c r="R344" s="1"/>
  <c r="R345"/>
  <c r="AD327"/>
  <c r="AD299"/>
  <c r="AD329"/>
  <c r="AD358"/>
  <c r="AD225"/>
  <c r="AD229"/>
  <c r="AD232"/>
  <c r="AD235"/>
  <c r="AD238"/>
  <c r="AD419"/>
  <c r="AD345" s="1"/>
  <c r="AD417"/>
  <c r="AD391"/>
  <c r="AD390" s="1"/>
  <c r="AD201"/>
  <c r="AD368"/>
  <c r="AD361"/>
  <c r="AD360" s="1"/>
  <c r="AD350"/>
  <c r="AD52"/>
  <c r="AD271"/>
  <c r="AD291"/>
  <c r="AD408"/>
  <c r="AD355"/>
  <c r="AD349"/>
  <c r="AD204"/>
  <c r="AD277"/>
  <c r="AD280"/>
  <c r="AD303"/>
  <c r="AD412"/>
  <c r="AD207"/>
  <c r="AD268"/>
  <c r="AD286"/>
  <c r="AD282"/>
  <c r="AD294"/>
  <c r="AD367"/>
  <c r="AD359"/>
  <c r="AD347" s="1"/>
  <c r="AD353"/>
  <c r="AD265"/>
  <c r="AD284"/>
  <c r="AD301"/>
  <c r="AD316"/>
  <c r="AD411"/>
  <c r="AD379"/>
  <c r="AD406"/>
  <c r="AD380"/>
  <c r="AD352"/>
  <c r="AD346" s="1"/>
  <c r="AD404" l="1"/>
  <c r="AD410"/>
  <c r="AD378"/>
  <c r="AD366"/>
  <c r="AD416"/>
  <c r="AD348"/>
  <c r="T195" l="1"/>
  <c r="U195"/>
  <c r="V195"/>
  <c r="W195"/>
  <c r="X195"/>
  <c r="Y195"/>
  <c r="Z195"/>
  <c r="AA195"/>
  <c r="AB195"/>
  <c r="AC195"/>
  <c r="S195"/>
  <c r="O195"/>
  <c r="P195"/>
  <c r="Q195"/>
  <c r="N195"/>
  <c r="N192"/>
  <c r="T183"/>
  <c r="U183"/>
  <c r="V183"/>
  <c r="W183"/>
  <c r="X183"/>
  <c r="Y183"/>
  <c r="Z183"/>
  <c r="AA183"/>
  <c r="AB183"/>
  <c r="AC183"/>
  <c r="S183"/>
  <c r="O183"/>
  <c r="P183"/>
  <c r="Q183"/>
  <c r="N183"/>
  <c r="AC215"/>
  <c r="AB215"/>
  <c r="AA215"/>
  <c r="Z215"/>
  <c r="Y215"/>
  <c r="X215"/>
  <c r="W215"/>
  <c r="V215"/>
  <c r="U215"/>
  <c r="T215"/>
  <c r="S215"/>
  <c r="AC213"/>
  <c r="AB213"/>
  <c r="AA213"/>
  <c r="Z213"/>
  <c r="Y213"/>
  <c r="X213"/>
  <c r="W213"/>
  <c r="V213"/>
  <c r="U213"/>
  <c r="T213"/>
  <c r="S213"/>
  <c r="Q215"/>
  <c r="P215"/>
  <c r="O215"/>
  <c r="N215"/>
  <c r="Q213"/>
  <c r="P213"/>
  <c r="O213"/>
  <c r="N213"/>
  <c r="AC181"/>
  <c r="AB181"/>
  <c r="AA181"/>
  <c r="Z181"/>
  <c r="Y181"/>
  <c r="X181"/>
  <c r="W181"/>
  <c r="V181"/>
  <c r="U181"/>
  <c r="T181"/>
  <c r="S181"/>
  <c r="Q181"/>
  <c r="P181"/>
  <c r="O181"/>
  <c r="N181"/>
  <c r="O170"/>
  <c r="P170"/>
  <c r="AD170" s="1"/>
  <c r="Q170"/>
  <c r="N170"/>
  <c r="O163"/>
  <c r="P163"/>
  <c r="AD163" s="1"/>
  <c r="Q163"/>
  <c r="N163"/>
  <c r="Q175"/>
  <c r="P175"/>
  <c r="O175"/>
  <c r="N175"/>
  <c r="Q173"/>
  <c r="P173"/>
  <c r="O173"/>
  <c r="N173"/>
  <c r="AC161"/>
  <c r="AB161"/>
  <c r="AA161"/>
  <c r="Z161"/>
  <c r="Y161"/>
  <c r="X161"/>
  <c r="W161"/>
  <c r="V161"/>
  <c r="U161"/>
  <c r="T161"/>
  <c r="S161"/>
  <c r="Q161"/>
  <c r="P161"/>
  <c r="O161"/>
  <c r="N161"/>
  <c r="AC158"/>
  <c r="AB158"/>
  <c r="AA158"/>
  <c r="Z158"/>
  <c r="Y158"/>
  <c r="X158"/>
  <c r="W158"/>
  <c r="V158"/>
  <c r="U158"/>
  <c r="T158"/>
  <c r="S158"/>
  <c r="AC150"/>
  <c r="AB150"/>
  <c r="AA150"/>
  <c r="Z150"/>
  <c r="Y150"/>
  <c r="X150"/>
  <c r="W150"/>
  <c r="V150"/>
  <c r="U150"/>
  <c r="T150"/>
  <c r="S150"/>
  <c r="AC148"/>
  <c r="AB148"/>
  <c r="AA148"/>
  <c r="Z148"/>
  <c r="Y148"/>
  <c r="X148"/>
  <c r="W148"/>
  <c r="V148"/>
  <c r="U148"/>
  <c r="T148"/>
  <c r="S148"/>
  <c r="Q158"/>
  <c r="P158"/>
  <c r="O158"/>
  <c r="N158"/>
  <c r="Q150"/>
  <c r="P150"/>
  <c r="O150"/>
  <c r="N150"/>
  <c r="Q148"/>
  <c r="P148"/>
  <c r="O148"/>
  <c r="N148"/>
  <c r="Q141"/>
  <c r="P141"/>
  <c r="O141"/>
  <c r="N145"/>
  <c r="N143"/>
  <c r="Q145"/>
  <c r="P145"/>
  <c r="O145"/>
  <c r="Q143"/>
  <c r="P143"/>
  <c r="O143"/>
  <c r="N141"/>
  <c r="Q137"/>
  <c r="P137"/>
  <c r="O137"/>
  <c r="N137"/>
  <c r="O133"/>
  <c r="P133"/>
  <c r="AD133" s="1"/>
  <c r="Q133"/>
  <c r="N133"/>
  <c r="Q130"/>
  <c r="P130"/>
  <c r="O130"/>
  <c r="N130"/>
  <c r="O127"/>
  <c r="P127"/>
  <c r="AD127" s="1"/>
  <c r="Q127"/>
  <c r="N127"/>
  <c r="O124"/>
  <c r="P124"/>
  <c r="AD124" s="1"/>
  <c r="Q124"/>
  <c r="N124"/>
  <c r="O121"/>
  <c r="P121"/>
  <c r="AD121" s="1"/>
  <c r="Q121"/>
  <c r="N121"/>
  <c r="O118"/>
  <c r="P118"/>
  <c r="AD118" s="1"/>
  <c r="Q118"/>
  <c r="N118"/>
  <c r="T115"/>
  <c r="U115"/>
  <c r="V115"/>
  <c r="W115"/>
  <c r="X115"/>
  <c r="Y115"/>
  <c r="Z115"/>
  <c r="AA115"/>
  <c r="AB115"/>
  <c r="AC115"/>
  <c r="S115"/>
  <c r="O115"/>
  <c r="P115"/>
  <c r="Q115"/>
  <c r="N115"/>
  <c r="T111"/>
  <c r="U111"/>
  <c r="V111"/>
  <c r="W111"/>
  <c r="X111"/>
  <c r="Y111"/>
  <c r="Z111"/>
  <c r="AA111"/>
  <c r="AB111"/>
  <c r="AC111"/>
  <c r="S111"/>
  <c r="O111"/>
  <c r="P111"/>
  <c r="Q111"/>
  <c r="N111"/>
  <c r="T106"/>
  <c r="U106"/>
  <c r="V106"/>
  <c r="W106"/>
  <c r="X106"/>
  <c r="Y106"/>
  <c r="Z106"/>
  <c r="AA106"/>
  <c r="AB106"/>
  <c r="AC106"/>
  <c r="S106"/>
  <c r="O106"/>
  <c r="P106"/>
  <c r="Q106"/>
  <c r="N106"/>
  <c r="O103"/>
  <c r="P103"/>
  <c r="Q103"/>
  <c r="N103"/>
  <c r="O100"/>
  <c r="P100"/>
  <c r="Q100"/>
  <c r="N100"/>
  <c r="O97"/>
  <c r="P97"/>
  <c r="Q97"/>
  <c r="N97"/>
  <c r="O93"/>
  <c r="P93"/>
  <c r="Q93"/>
  <c r="N93"/>
  <c r="O58"/>
  <c r="P58"/>
  <c r="Q58"/>
  <c r="O61"/>
  <c r="P61"/>
  <c r="AD61" s="1"/>
  <c r="Q61"/>
  <c r="O64"/>
  <c r="P64"/>
  <c r="Q64"/>
  <c r="O67"/>
  <c r="P67"/>
  <c r="Q67"/>
  <c r="O70"/>
  <c r="P70"/>
  <c r="Q70"/>
  <c r="N70"/>
  <c r="O72"/>
  <c r="P72"/>
  <c r="Q72"/>
  <c r="O75"/>
  <c r="P75"/>
  <c r="AD75" s="1"/>
  <c r="Q75"/>
  <c r="O79"/>
  <c r="P79"/>
  <c r="Q79"/>
  <c r="O83"/>
  <c r="P83"/>
  <c r="Q83"/>
  <c r="O87"/>
  <c r="P87"/>
  <c r="Q87"/>
  <c r="T58"/>
  <c r="U58"/>
  <c r="V58"/>
  <c r="W58"/>
  <c r="X58"/>
  <c r="Y58"/>
  <c r="Z58"/>
  <c r="AA58"/>
  <c r="AB58"/>
  <c r="AC58"/>
  <c r="T61"/>
  <c r="U61"/>
  <c r="V61"/>
  <c r="W61"/>
  <c r="X61"/>
  <c r="Y61"/>
  <c r="Z61"/>
  <c r="AA61"/>
  <c r="AB61"/>
  <c r="AC61"/>
  <c r="T64"/>
  <c r="U64"/>
  <c r="V64"/>
  <c r="W64"/>
  <c r="X64"/>
  <c r="Y64"/>
  <c r="Z64"/>
  <c r="AA64"/>
  <c r="AB64"/>
  <c r="AC64"/>
  <c r="T67"/>
  <c r="U67"/>
  <c r="V67"/>
  <c r="W67"/>
  <c r="X67"/>
  <c r="Y67"/>
  <c r="Z67"/>
  <c r="AA67"/>
  <c r="AB67"/>
  <c r="AC67"/>
  <c r="T70"/>
  <c r="U70"/>
  <c r="V70"/>
  <c r="W70"/>
  <c r="X70"/>
  <c r="Y70"/>
  <c r="Z70"/>
  <c r="AA70"/>
  <c r="AB70"/>
  <c r="AC70"/>
  <c r="S70"/>
  <c r="T72"/>
  <c r="U72"/>
  <c r="V72"/>
  <c r="W72"/>
  <c r="X72"/>
  <c r="Y72"/>
  <c r="Z72"/>
  <c r="AA72"/>
  <c r="AB72"/>
  <c r="AC72"/>
  <c r="T75"/>
  <c r="U75"/>
  <c r="V75"/>
  <c r="W75"/>
  <c r="X75"/>
  <c r="Y75"/>
  <c r="Z75"/>
  <c r="AA75"/>
  <c r="AB75"/>
  <c r="AC75"/>
  <c r="T79"/>
  <c r="U79"/>
  <c r="V79"/>
  <c r="W79"/>
  <c r="X79"/>
  <c r="Y79"/>
  <c r="Z79"/>
  <c r="AA79"/>
  <c r="AB79"/>
  <c r="AC79"/>
  <c r="S79"/>
  <c r="T87"/>
  <c r="U87"/>
  <c r="V87"/>
  <c r="W87"/>
  <c r="X87"/>
  <c r="Y87"/>
  <c r="Z87"/>
  <c r="AA87"/>
  <c r="AB87"/>
  <c r="AC87"/>
  <c r="T90"/>
  <c r="U90"/>
  <c r="V90"/>
  <c r="W90"/>
  <c r="X90"/>
  <c r="Y90"/>
  <c r="Z90"/>
  <c r="AA90"/>
  <c r="AB90"/>
  <c r="AC90"/>
  <c r="S90"/>
  <c r="O90"/>
  <c r="P90"/>
  <c r="Q90"/>
  <c r="N90"/>
  <c r="S87"/>
  <c r="S75"/>
  <c r="S72"/>
  <c r="S67"/>
  <c r="S64"/>
  <c r="S61"/>
  <c r="S58"/>
  <c r="T55"/>
  <c r="U55"/>
  <c r="V55"/>
  <c r="W55"/>
  <c r="X55"/>
  <c r="Y55"/>
  <c r="Z55"/>
  <c r="AA55"/>
  <c r="AB55"/>
  <c r="AC55"/>
  <c r="S55"/>
  <c r="O55"/>
  <c r="P55"/>
  <c r="Q55"/>
  <c r="T52"/>
  <c r="U52"/>
  <c r="V52"/>
  <c r="W52"/>
  <c r="X52"/>
  <c r="Y52"/>
  <c r="Z52"/>
  <c r="AA52"/>
  <c r="AB52"/>
  <c r="AC52"/>
  <c r="S52"/>
  <c r="O52"/>
  <c r="P52"/>
  <c r="Q52"/>
  <c r="T49"/>
  <c r="U49"/>
  <c r="V49"/>
  <c r="W49"/>
  <c r="X49"/>
  <c r="Y49"/>
  <c r="Z49"/>
  <c r="AA49"/>
  <c r="AB49"/>
  <c r="AC49"/>
  <c r="S49"/>
  <c r="O49"/>
  <c r="P49"/>
  <c r="Q49"/>
  <c r="T47"/>
  <c r="U47"/>
  <c r="V47"/>
  <c r="W47"/>
  <c r="X47"/>
  <c r="Y47"/>
  <c r="Z47"/>
  <c r="AA47"/>
  <c r="AB47"/>
  <c r="AC47"/>
  <c r="S47"/>
  <c r="O47"/>
  <c r="P47"/>
  <c r="Q47"/>
  <c r="N47"/>
  <c r="T41"/>
  <c r="U41"/>
  <c r="V41"/>
  <c r="W41"/>
  <c r="X41"/>
  <c r="Y41"/>
  <c r="Z41"/>
  <c r="AA41"/>
  <c r="AB41"/>
  <c r="AC41"/>
  <c r="S41"/>
  <c r="O41"/>
  <c r="P41"/>
  <c r="Q41"/>
  <c r="N41"/>
  <c r="O37"/>
  <c r="P37"/>
  <c r="Q37"/>
  <c r="V33"/>
  <c r="U33"/>
  <c r="T33"/>
  <c r="S33"/>
  <c r="O33"/>
  <c r="P33"/>
  <c r="Q33"/>
  <c r="O31"/>
  <c r="P31"/>
  <c r="AD31" s="1"/>
  <c r="Q31"/>
  <c r="N31"/>
  <c r="T28"/>
  <c r="U28"/>
  <c r="V28"/>
  <c r="W28"/>
  <c r="X28"/>
  <c r="Y28"/>
  <c r="Z28"/>
  <c r="AA28"/>
  <c r="AB28"/>
  <c r="AC28"/>
  <c r="S28"/>
  <c r="O28"/>
  <c r="P28"/>
  <c r="Q28"/>
  <c r="S25"/>
  <c r="T25"/>
  <c r="U25"/>
  <c r="V25"/>
  <c r="W25"/>
  <c r="X25"/>
  <c r="Y25"/>
  <c r="Z25"/>
  <c r="AA25"/>
  <c r="AB25"/>
  <c r="AC25"/>
  <c r="O25"/>
  <c r="P25"/>
  <c r="Q25"/>
  <c r="T22"/>
  <c r="U22"/>
  <c r="V22"/>
  <c r="W22"/>
  <c r="X22"/>
  <c r="Y22"/>
  <c r="Z22"/>
  <c r="AA22"/>
  <c r="AB22"/>
  <c r="AC22"/>
  <c r="S22"/>
  <c r="O22"/>
  <c r="P22"/>
  <c r="Q22"/>
  <c r="T16"/>
  <c r="U16"/>
  <c r="V16"/>
  <c r="W16"/>
  <c r="X16"/>
  <c r="Y16"/>
  <c r="Z16"/>
  <c r="AA16"/>
  <c r="AB16"/>
  <c r="AC16"/>
  <c r="S16"/>
  <c r="O16"/>
  <c r="P16"/>
  <c r="Q16"/>
  <c r="T12"/>
  <c r="U12"/>
  <c r="V12"/>
  <c r="W12"/>
  <c r="X12"/>
  <c r="Y12"/>
  <c r="Z12"/>
  <c r="AA12"/>
  <c r="AB12"/>
  <c r="AC12"/>
  <c r="S12"/>
  <c r="O12"/>
  <c r="P12"/>
  <c r="Q12"/>
  <c r="T10"/>
  <c r="U10"/>
  <c r="V10"/>
  <c r="W10"/>
  <c r="X10"/>
  <c r="Y10"/>
  <c r="Z10"/>
  <c r="AA10"/>
  <c r="AB10"/>
  <c r="AC10"/>
  <c r="S10"/>
  <c r="O10"/>
  <c r="P10"/>
  <c r="Q10"/>
  <c r="N10"/>
  <c r="N12"/>
  <c r="N75"/>
  <c r="N79"/>
  <c r="N83"/>
  <c r="N87"/>
  <c r="N72"/>
  <c r="N67"/>
  <c r="N64"/>
  <c r="N61"/>
  <c r="N58"/>
  <c r="N55"/>
  <c r="N52"/>
  <c r="N49"/>
  <c r="N43"/>
  <c r="N37"/>
  <c r="N33"/>
  <c r="N28"/>
  <c r="N25"/>
  <c r="N22"/>
  <c r="N19"/>
  <c r="N16"/>
  <c r="T7"/>
  <c r="U7"/>
  <c r="V7"/>
  <c r="W7"/>
  <c r="X7"/>
  <c r="Y7"/>
  <c r="Z7"/>
  <c r="AA7"/>
  <c r="AB7"/>
  <c r="AC7"/>
  <c r="S7"/>
  <c r="O7"/>
  <c r="P7"/>
  <c r="Q7"/>
  <c r="N7"/>
  <c r="AD219"/>
  <c r="AD221"/>
  <c r="AD223"/>
  <c r="AD247"/>
  <c r="AD248"/>
  <c r="AD250"/>
  <c r="AD251"/>
  <c r="AD254"/>
  <c r="AD256"/>
  <c r="AD257"/>
  <c r="G244"/>
  <c r="H244"/>
  <c r="G246"/>
  <c r="H246"/>
  <c r="G249"/>
  <c r="H249"/>
  <c r="G252"/>
  <c r="H252"/>
  <c r="G255"/>
  <c r="H255"/>
  <c r="AC420"/>
  <c r="AB420"/>
  <c r="AA420"/>
  <c r="Z420"/>
  <c r="Y420"/>
  <c r="X420"/>
  <c r="W420"/>
  <c r="V420"/>
  <c r="U420"/>
  <c r="T420"/>
  <c r="S420"/>
  <c r="Q420"/>
  <c r="P420"/>
  <c r="O420"/>
  <c r="N420"/>
  <c r="M420"/>
  <c r="L420"/>
  <c r="K420"/>
  <c r="J420"/>
  <c r="H420"/>
  <c r="G420"/>
  <c r="AC419"/>
  <c r="AB419"/>
  <c r="AA419"/>
  <c r="Z419"/>
  <c r="Y419"/>
  <c r="X419"/>
  <c r="W419"/>
  <c r="V419"/>
  <c r="U419"/>
  <c r="T419"/>
  <c r="S419"/>
  <c r="Q419"/>
  <c r="P419"/>
  <c r="O419"/>
  <c r="N419"/>
  <c r="M419"/>
  <c r="L419"/>
  <c r="K419"/>
  <c r="J419"/>
  <c r="H419"/>
  <c r="G419"/>
  <c r="AC418"/>
  <c r="AB418"/>
  <c r="AA418"/>
  <c r="Z418"/>
  <c r="Y418"/>
  <c r="X418"/>
  <c r="W418"/>
  <c r="V418"/>
  <c r="U418"/>
  <c r="T418"/>
  <c r="S418"/>
  <c r="Q418"/>
  <c r="P418"/>
  <c r="O418"/>
  <c r="N418"/>
  <c r="M418"/>
  <c r="L418"/>
  <c r="K418"/>
  <c r="J418"/>
  <c r="H418"/>
  <c r="G418"/>
  <c r="AC417"/>
  <c r="AB417"/>
  <c r="AA417"/>
  <c r="Z417"/>
  <c r="Y417"/>
  <c r="X417"/>
  <c r="W417"/>
  <c r="N417"/>
  <c r="L417"/>
  <c r="K417"/>
  <c r="J417"/>
  <c r="H417"/>
  <c r="G417"/>
  <c r="AC412"/>
  <c r="AB412"/>
  <c r="AA412"/>
  <c r="Z412"/>
  <c r="Y412"/>
  <c r="X412"/>
  <c r="W412"/>
  <c r="V412"/>
  <c r="U412"/>
  <c r="T412"/>
  <c r="S412"/>
  <c r="Q412"/>
  <c r="P412"/>
  <c r="M412"/>
  <c r="L412"/>
  <c r="K412"/>
  <c r="J412"/>
  <c r="H412"/>
  <c r="G412"/>
  <c r="AC411"/>
  <c r="AB411"/>
  <c r="AA411"/>
  <c r="Z411"/>
  <c r="Y411"/>
  <c r="X411"/>
  <c r="W411"/>
  <c r="V411"/>
  <c r="U411"/>
  <c r="T411"/>
  <c r="S411"/>
  <c r="P411"/>
  <c r="L411"/>
  <c r="K411"/>
  <c r="J411"/>
  <c r="H411"/>
  <c r="G411"/>
  <c r="AC408"/>
  <c r="AB408"/>
  <c r="AA408"/>
  <c r="Z408"/>
  <c r="Y408"/>
  <c r="X408"/>
  <c r="W408"/>
  <c r="V408"/>
  <c r="U408"/>
  <c r="T408"/>
  <c r="S408"/>
  <c r="Q408"/>
  <c r="P408"/>
  <c r="O408"/>
  <c r="M408"/>
  <c r="L408"/>
  <c r="K408"/>
  <c r="J408"/>
  <c r="H408"/>
  <c r="G408"/>
  <c r="AC406"/>
  <c r="AB406"/>
  <c r="AA406"/>
  <c r="Z406"/>
  <c r="Y406"/>
  <c r="X406"/>
  <c r="W406"/>
  <c r="V406"/>
  <c r="U406"/>
  <c r="T406"/>
  <c r="S406"/>
  <c r="Q406"/>
  <c r="P406"/>
  <c r="L406"/>
  <c r="K406"/>
  <c r="J406"/>
  <c r="H406"/>
  <c r="G406"/>
  <c r="AC405"/>
  <c r="AB405"/>
  <c r="AA405"/>
  <c r="Z405"/>
  <c r="Y405"/>
  <c r="X405"/>
  <c r="W405"/>
  <c r="L405"/>
  <c r="K405"/>
  <c r="J405"/>
  <c r="H405"/>
  <c r="G405"/>
  <c r="AC400"/>
  <c r="AB400"/>
  <c r="AA400"/>
  <c r="Z400"/>
  <c r="Y400"/>
  <c r="X400"/>
  <c r="W400"/>
  <c r="V400"/>
  <c r="U400"/>
  <c r="T400"/>
  <c r="S400"/>
  <c r="Q400"/>
  <c r="N400"/>
  <c r="L400"/>
  <c r="K400"/>
  <c r="J400"/>
  <c r="H400"/>
  <c r="G400"/>
  <c r="AC399"/>
  <c r="AB399"/>
  <c r="AA399"/>
  <c r="Z399"/>
  <c r="Y399"/>
  <c r="X399"/>
  <c r="W399"/>
  <c r="U399"/>
  <c r="T399"/>
  <c r="S399"/>
  <c r="Q399"/>
  <c r="L399"/>
  <c r="K399"/>
  <c r="J399"/>
  <c r="H399"/>
  <c r="G399"/>
  <c r="AC397"/>
  <c r="AC396" s="1"/>
  <c r="AB397"/>
  <c r="AB396" s="1"/>
  <c r="AA397"/>
  <c r="AA396" s="1"/>
  <c r="Z397"/>
  <c r="Z396" s="1"/>
  <c r="Y397"/>
  <c r="Y396" s="1"/>
  <c r="X397"/>
  <c r="X396" s="1"/>
  <c r="W397"/>
  <c r="W396" s="1"/>
  <c r="V397"/>
  <c r="V396" s="1"/>
  <c r="N397"/>
  <c r="N396" s="1"/>
  <c r="L397"/>
  <c r="L396" s="1"/>
  <c r="K397"/>
  <c r="K396" s="1"/>
  <c r="J397"/>
  <c r="J396" s="1"/>
  <c r="H397"/>
  <c r="H396" s="1"/>
  <c r="G397"/>
  <c r="G396" s="1"/>
  <c r="AC393"/>
  <c r="AB393"/>
  <c r="AA393"/>
  <c r="Z393"/>
  <c r="Y393"/>
  <c r="X393"/>
  <c r="W393"/>
  <c r="V393"/>
  <c r="U393"/>
  <c r="T393"/>
  <c r="S393"/>
  <c r="Q393"/>
  <c r="P393"/>
  <c r="O393"/>
  <c r="N393"/>
  <c r="M393"/>
  <c r="L393"/>
  <c r="K393"/>
  <c r="J393"/>
  <c r="H393"/>
  <c r="G393"/>
  <c r="AC392"/>
  <c r="AB392"/>
  <c r="AA392"/>
  <c r="Z392"/>
  <c r="Y392"/>
  <c r="X392"/>
  <c r="W392"/>
  <c r="V392"/>
  <c r="U392"/>
  <c r="S392"/>
  <c r="P392"/>
  <c r="M392"/>
  <c r="L392"/>
  <c r="K392"/>
  <c r="J392"/>
  <c r="H392"/>
  <c r="G392"/>
  <c r="AC391"/>
  <c r="AB391"/>
  <c r="AA391"/>
  <c r="Z391"/>
  <c r="Y391"/>
  <c r="X391"/>
  <c r="W391"/>
  <c r="V391"/>
  <c r="U391"/>
  <c r="L391"/>
  <c r="K391"/>
  <c r="J391"/>
  <c r="H391"/>
  <c r="G391"/>
  <c r="AC385"/>
  <c r="AC384" s="1"/>
  <c r="AB385"/>
  <c r="AB384" s="1"/>
  <c r="AA385"/>
  <c r="AA384" s="1"/>
  <c r="Z385"/>
  <c r="Z384" s="1"/>
  <c r="Y385"/>
  <c r="X385"/>
  <c r="X384" s="1"/>
  <c r="W385"/>
  <c r="W384" s="1"/>
  <c r="V385"/>
  <c r="V384" s="1"/>
  <c r="U385"/>
  <c r="U384" s="1"/>
  <c r="T385"/>
  <c r="T384" s="1"/>
  <c r="S385"/>
  <c r="S384" s="1"/>
  <c r="Q385"/>
  <c r="Q384" s="1"/>
  <c r="P385"/>
  <c r="P384" s="1"/>
  <c r="O385"/>
  <c r="M385"/>
  <c r="L385"/>
  <c r="K385"/>
  <c r="K384" s="1"/>
  <c r="J385"/>
  <c r="J384" s="1"/>
  <c r="H385"/>
  <c r="H384" s="1"/>
  <c r="G385"/>
  <c r="G384" s="1"/>
  <c r="Y384"/>
  <c r="O384"/>
  <c r="M384"/>
  <c r="L384"/>
  <c r="F381"/>
  <c r="AC380"/>
  <c r="AB380"/>
  <c r="AA380"/>
  <c r="Z380"/>
  <c r="Y380"/>
  <c r="X380"/>
  <c r="W380"/>
  <c r="V380"/>
  <c r="U380"/>
  <c r="T380"/>
  <c r="S380"/>
  <c r="Q380"/>
  <c r="P380"/>
  <c r="M380"/>
  <c r="L380"/>
  <c r="K380"/>
  <c r="J380"/>
  <c r="H380"/>
  <c r="G380"/>
  <c r="AC379"/>
  <c r="AB379"/>
  <c r="AA379"/>
  <c r="Z379"/>
  <c r="Y379"/>
  <c r="X379"/>
  <c r="W379"/>
  <c r="S379"/>
  <c r="S378" s="1"/>
  <c r="L379"/>
  <c r="K379"/>
  <c r="J379"/>
  <c r="H379"/>
  <c r="G379"/>
  <c r="AC373"/>
  <c r="AC372" s="1"/>
  <c r="AB373"/>
  <c r="AB372" s="1"/>
  <c r="AA373"/>
  <c r="AA372" s="1"/>
  <c r="Z373"/>
  <c r="Z372" s="1"/>
  <c r="Y373"/>
  <c r="X373"/>
  <c r="W373"/>
  <c r="W372" s="1"/>
  <c r="V373"/>
  <c r="V372" s="1"/>
  <c r="U373"/>
  <c r="U372" s="1"/>
  <c r="T373"/>
  <c r="T372" s="1"/>
  <c r="S373"/>
  <c r="S372" s="1"/>
  <c r="Q373"/>
  <c r="Q372" s="1"/>
  <c r="P373"/>
  <c r="P372" s="1"/>
  <c r="N373"/>
  <c r="N372" s="1"/>
  <c r="M373"/>
  <c r="M372" s="1"/>
  <c r="L373"/>
  <c r="L372" s="1"/>
  <c r="K373"/>
  <c r="K372" s="1"/>
  <c r="J373"/>
  <c r="J372" s="1"/>
  <c r="H373"/>
  <c r="H372" s="1"/>
  <c r="G373"/>
  <c r="G372" s="1"/>
  <c r="Y372"/>
  <c r="X372"/>
  <c r="AC371"/>
  <c r="AB371"/>
  <c r="AA371"/>
  <c r="Z371"/>
  <c r="Y371"/>
  <c r="X371"/>
  <c r="W371"/>
  <c r="V371"/>
  <c r="U371"/>
  <c r="T371"/>
  <c r="S371"/>
  <c r="Q371"/>
  <c r="P371"/>
  <c r="O371"/>
  <c r="N371"/>
  <c r="M371"/>
  <c r="L371"/>
  <c r="K371"/>
  <c r="J371"/>
  <c r="H371"/>
  <c r="G371"/>
  <c r="AC368"/>
  <c r="AB368"/>
  <c r="AA368"/>
  <c r="Z368"/>
  <c r="Y368"/>
  <c r="X368"/>
  <c r="W368"/>
  <c r="V368"/>
  <c r="U368"/>
  <c r="T368"/>
  <c r="S368"/>
  <c r="Q368"/>
  <c r="P368"/>
  <c r="O368"/>
  <c r="M368"/>
  <c r="L368"/>
  <c r="K368"/>
  <c r="J368"/>
  <c r="H368"/>
  <c r="G368"/>
  <c r="AC367"/>
  <c r="AB367"/>
  <c r="AA367"/>
  <c r="Z367"/>
  <c r="Y367"/>
  <c r="X367"/>
  <c r="W367"/>
  <c r="V367"/>
  <c r="U367"/>
  <c r="T367"/>
  <c r="S367"/>
  <c r="Q367"/>
  <c r="L367"/>
  <c r="K367"/>
  <c r="J367"/>
  <c r="H367"/>
  <c r="G367"/>
  <c r="AC365"/>
  <c r="AB365"/>
  <c r="AA365"/>
  <c r="Z365"/>
  <c r="Y365"/>
  <c r="X365"/>
  <c r="W365"/>
  <c r="V365"/>
  <c r="U365"/>
  <c r="T365"/>
  <c r="S365"/>
  <c r="Q365"/>
  <c r="P365"/>
  <c r="O365"/>
  <c r="N365"/>
  <c r="M365"/>
  <c r="L365"/>
  <c r="K365"/>
  <c r="J365"/>
  <c r="H365"/>
  <c r="G365"/>
  <c r="AC362"/>
  <c r="AB362"/>
  <c r="AA362"/>
  <c r="Z362"/>
  <c r="Y362"/>
  <c r="X362"/>
  <c r="W362"/>
  <c r="V362"/>
  <c r="U362"/>
  <c r="T362"/>
  <c r="S362"/>
  <c r="Q362"/>
  <c r="P362"/>
  <c r="O362"/>
  <c r="N362"/>
  <c r="M362"/>
  <c r="L362"/>
  <c r="K362"/>
  <c r="J362"/>
  <c r="H362"/>
  <c r="G362"/>
  <c r="AC361"/>
  <c r="AB361"/>
  <c r="AA361"/>
  <c r="Z361"/>
  <c r="Y361"/>
  <c r="X361"/>
  <c r="W361"/>
  <c r="V361"/>
  <c r="U361"/>
  <c r="N361"/>
  <c r="L361"/>
  <c r="K361"/>
  <c r="J361"/>
  <c r="H361"/>
  <c r="G361"/>
  <c r="AC359"/>
  <c r="AB359"/>
  <c r="AA359"/>
  <c r="Z359"/>
  <c r="Y359"/>
  <c r="X359"/>
  <c r="W359"/>
  <c r="V359"/>
  <c r="U359"/>
  <c r="T359"/>
  <c r="S359"/>
  <c r="Q359"/>
  <c r="P359"/>
  <c r="O359"/>
  <c r="N359"/>
  <c r="M359"/>
  <c r="L359"/>
  <c r="K359"/>
  <c r="J359"/>
  <c r="H359"/>
  <c r="G359"/>
  <c r="AC358"/>
  <c r="AB358"/>
  <c r="AA358"/>
  <c r="Z358"/>
  <c r="Y358"/>
  <c r="X358"/>
  <c r="W358"/>
  <c r="V358"/>
  <c r="U358"/>
  <c r="T358"/>
  <c r="S358"/>
  <c r="Q358"/>
  <c r="P358"/>
  <c r="O358"/>
  <c r="N358"/>
  <c r="M358"/>
  <c r="L358"/>
  <c r="K358"/>
  <c r="J358"/>
  <c r="H358"/>
  <c r="G358"/>
  <c r="AC357"/>
  <c r="AB357"/>
  <c r="AA357"/>
  <c r="Z357"/>
  <c r="Y357"/>
  <c r="X357"/>
  <c r="W357"/>
  <c r="V357"/>
  <c r="U357"/>
  <c r="T357"/>
  <c r="S357"/>
  <c r="Q357"/>
  <c r="P357"/>
  <c r="O357"/>
  <c r="N357"/>
  <c r="M357"/>
  <c r="L357"/>
  <c r="K357"/>
  <c r="J357"/>
  <c r="H357"/>
  <c r="G357"/>
  <c r="AC356"/>
  <c r="AB356"/>
  <c r="AA356"/>
  <c r="Z356"/>
  <c r="Y356"/>
  <c r="X356"/>
  <c r="W356"/>
  <c r="V356"/>
  <c r="U356"/>
  <c r="L356"/>
  <c r="K356"/>
  <c r="J356"/>
  <c r="H356"/>
  <c r="G356"/>
  <c r="AC355"/>
  <c r="AB355"/>
  <c r="AA355"/>
  <c r="Z355"/>
  <c r="Y355"/>
  <c r="X355"/>
  <c r="W355"/>
  <c r="L355"/>
  <c r="K355"/>
  <c r="J355"/>
  <c r="H355"/>
  <c r="G355"/>
  <c r="AC353"/>
  <c r="AB353"/>
  <c r="AA353"/>
  <c r="Z353"/>
  <c r="Y353"/>
  <c r="X353"/>
  <c r="W353"/>
  <c r="V353"/>
  <c r="U353"/>
  <c r="T353"/>
  <c r="S353"/>
  <c r="Q353"/>
  <c r="P353"/>
  <c r="O353"/>
  <c r="L353"/>
  <c r="K353"/>
  <c r="J353"/>
  <c r="H353"/>
  <c r="G353"/>
  <c r="AC352"/>
  <c r="AB352"/>
  <c r="AA352"/>
  <c r="Z352"/>
  <c r="Y352"/>
  <c r="X352"/>
  <c r="W352"/>
  <c r="V352"/>
  <c r="U352"/>
  <c r="T352"/>
  <c r="S352"/>
  <c r="Q352"/>
  <c r="P352"/>
  <c r="O352"/>
  <c r="N352"/>
  <c r="M352"/>
  <c r="L352"/>
  <c r="K352"/>
  <c r="J352"/>
  <c r="H352"/>
  <c r="G352"/>
  <c r="AC351"/>
  <c r="AB351"/>
  <c r="AA351"/>
  <c r="Z351"/>
  <c r="Y351"/>
  <c r="X351"/>
  <c r="W351"/>
  <c r="V351"/>
  <c r="U351"/>
  <c r="T351"/>
  <c r="S351"/>
  <c r="Q351"/>
  <c r="P351"/>
  <c r="O351"/>
  <c r="N351"/>
  <c r="M351"/>
  <c r="L351"/>
  <c r="K351"/>
  <c r="J351"/>
  <c r="H351"/>
  <c r="G351"/>
  <c r="L350"/>
  <c r="K350"/>
  <c r="J350"/>
  <c r="H350"/>
  <c r="G350"/>
  <c r="L349"/>
  <c r="K349"/>
  <c r="J349"/>
  <c r="H349"/>
  <c r="G349"/>
  <c r="I337"/>
  <c r="I336"/>
  <c r="I420" s="1"/>
  <c r="M335"/>
  <c r="AC334"/>
  <c r="AB334"/>
  <c r="AA334"/>
  <c r="Z334"/>
  <c r="Y334"/>
  <c r="X334"/>
  <c r="W334"/>
  <c r="M334"/>
  <c r="L334"/>
  <c r="K334"/>
  <c r="J334"/>
  <c r="I333"/>
  <c r="I332"/>
  <c r="AC331"/>
  <c r="AB331"/>
  <c r="AA331"/>
  <c r="Z331"/>
  <c r="Y331"/>
  <c r="X331"/>
  <c r="W331"/>
  <c r="V331"/>
  <c r="M331"/>
  <c r="L331"/>
  <c r="K331"/>
  <c r="J331"/>
  <c r="H331"/>
  <c r="G331"/>
  <c r="I330"/>
  <c r="AC329"/>
  <c r="AB329"/>
  <c r="AA329"/>
  <c r="Z329"/>
  <c r="Y329"/>
  <c r="X329"/>
  <c r="W329"/>
  <c r="V329"/>
  <c r="M329"/>
  <c r="L329"/>
  <c r="K329"/>
  <c r="J329"/>
  <c r="H329"/>
  <c r="G329"/>
  <c r="AC327"/>
  <c r="AB327"/>
  <c r="AA327"/>
  <c r="Z327"/>
  <c r="Y327"/>
  <c r="X327"/>
  <c r="W327"/>
  <c r="V327"/>
  <c r="M327"/>
  <c r="L327"/>
  <c r="K327"/>
  <c r="J327"/>
  <c r="H327"/>
  <c r="G327"/>
  <c r="I326"/>
  <c r="P417"/>
  <c r="M325"/>
  <c r="M324" s="1"/>
  <c r="AC324"/>
  <c r="AB324"/>
  <c r="AA324"/>
  <c r="Z324"/>
  <c r="Y324"/>
  <c r="X324"/>
  <c r="W324"/>
  <c r="V324"/>
  <c r="L324"/>
  <c r="K324"/>
  <c r="J324"/>
  <c r="H324"/>
  <c r="G324"/>
  <c r="I323"/>
  <c r="M322"/>
  <c r="M321" s="1"/>
  <c r="AC321"/>
  <c r="AB321"/>
  <c r="AA321"/>
  <c r="Z321"/>
  <c r="Y321"/>
  <c r="X321"/>
  <c r="W321"/>
  <c r="V321"/>
  <c r="L321"/>
  <c r="K321"/>
  <c r="J321"/>
  <c r="H321"/>
  <c r="G321"/>
  <c r="V320"/>
  <c r="I320"/>
  <c r="AC319"/>
  <c r="AB319"/>
  <c r="AA319"/>
  <c r="Z319"/>
  <c r="Y319"/>
  <c r="X319"/>
  <c r="W319"/>
  <c r="M319"/>
  <c r="L319"/>
  <c r="K319"/>
  <c r="J319"/>
  <c r="H319"/>
  <c r="G319"/>
  <c r="I317"/>
  <c r="M316"/>
  <c r="L316"/>
  <c r="K316"/>
  <c r="J316"/>
  <c r="H316"/>
  <c r="G316"/>
  <c r="I315"/>
  <c r="AC314"/>
  <c r="AB314"/>
  <c r="AA314"/>
  <c r="Z314"/>
  <c r="Y314"/>
  <c r="X314"/>
  <c r="W314"/>
  <c r="V314"/>
  <c r="M314"/>
  <c r="L314"/>
  <c r="K314"/>
  <c r="J314"/>
  <c r="H314"/>
  <c r="G314"/>
  <c r="M312"/>
  <c r="AC311"/>
  <c r="AB311"/>
  <c r="AA311"/>
  <c r="Z311"/>
  <c r="Y311"/>
  <c r="X311"/>
  <c r="W311"/>
  <c r="V311"/>
  <c r="L311"/>
  <c r="K311"/>
  <c r="J311"/>
  <c r="H311"/>
  <c r="G311"/>
  <c r="N412"/>
  <c r="M309"/>
  <c r="AC308"/>
  <c r="AB308"/>
  <c r="AA308"/>
  <c r="Z308"/>
  <c r="Y308"/>
  <c r="X308"/>
  <c r="W308"/>
  <c r="V308"/>
  <c r="L308"/>
  <c r="K308"/>
  <c r="J308"/>
  <c r="H308"/>
  <c r="G308"/>
  <c r="I307"/>
  <c r="I306"/>
  <c r="AC305"/>
  <c r="AB305"/>
  <c r="AA305"/>
  <c r="Z305"/>
  <c r="Y305"/>
  <c r="X305"/>
  <c r="W305"/>
  <c r="V305"/>
  <c r="M305"/>
  <c r="L305"/>
  <c r="K305"/>
  <c r="J305"/>
  <c r="H305"/>
  <c r="G305"/>
  <c r="I304"/>
  <c r="AC303"/>
  <c r="AB303"/>
  <c r="AA303"/>
  <c r="Z303"/>
  <c r="Y303"/>
  <c r="X303"/>
  <c r="W303"/>
  <c r="V303"/>
  <c r="M303"/>
  <c r="L303"/>
  <c r="K303"/>
  <c r="J303"/>
  <c r="H303"/>
  <c r="G303"/>
  <c r="I302"/>
  <c r="AC301"/>
  <c r="AB301"/>
  <c r="AA301"/>
  <c r="Z301"/>
  <c r="Y301"/>
  <c r="X301"/>
  <c r="W301"/>
  <c r="V301"/>
  <c r="M301"/>
  <c r="L301"/>
  <c r="K301"/>
  <c r="J301"/>
  <c r="H301"/>
  <c r="G301"/>
  <c r="AC299"/>
  <c r="AB299"/>
  <c r="AA299"/>
  <c r="Z299"/>
  <c r="Y299"/>
  <c r="X299"/>
  <c r="W299"/>
  <c r="V299"/>
  <c r="M299"/>
  <c r="L299"/>
  <c r="K299"/>
  <c r="J299"/>
  <c r="H299"/>
  <c r="G299"/>
  <c r="I298"/>
  <c r="AC297"/>
  <c r="AB297"/>
  <c r="AA297"/>
  <c r="Z297"/>
  <c r="Y297"/>
  <c r="X297"/>
  <c r="W297"/>
  <c r="V297"/>
  <c r="M297"/>
  <c r="L297"/>
  <c r="K297"/>
  <c r="J297"/>
  <c r="H297"/>
  <c r="G297"/>
  <c r="I296"/>
  <c r="M295"/>
  <c r="AC294"/>
  <c r="AB294"/>
  <c r="AA294"/>
  <c r="Z294"/>
  <c r="Y294"/>
  <c r="X294"/>
  <c r="W294"/>
  <c r="V294"/>
  <c r="L294"/>
  <c r="K294"/>
  <c r="J294"/>
  <c r="H294"/>
  <c r="G294"/>
  <c r="M291"/>
  <c r="L291"/>
  <c r="K291"/>
  <c r="J291"/>
  <c r="H291"/>
  <c r="G291"/>
  <c r="M290"/>
  <c r="M289" s="1"/>
  <c r="L289"/>
  <c r="K289"/>
  <c r="J289"/>
  <c r="H289"/>
  <c r="G289"/>
  <c r="M286"/>
  <c r="L286"/>
  <c r="K286"/>
  <c r="J286"/>
  <c r="H286"/>
  <c r="G286"/>
  <c r="M285"/>
  <c r="L284"/>
  <c r="K284"/>
  <c r="J284"/>
  <c r="H284"/>
  <c r="G284"/>
  <c r="V283"/>
  <c r="V282" s="1"/>
  <c r="U283"/>
  <c r="U282" s="1"/>
  <c r="M283"/>
  <c r="L282"/>
  <c r="K282"/>
  <c r="J282"/>
  <c r="H282"/>
  <c r="G282"/>
  <c r="AC280"/>
  <c r="AB280"/>
  <c r="AA280"/>
  <c r="Z280"/>
  <c r="Y280"/>
  <c r="X280"/>
  <c r="W280"/>
  <c r="V280"/>
  <c r="U280"/>
  <c r="M280"/>
  <c r="L280"/>
  <c r="K280"/>
  <c r="J280"/>
  <c r="H280"/>
  <c r="G280"/>
  <c r="I279"/>
  <c r="M277"/>
  <c r="L277"/>
  <c r="K277"/>
  <c r="J277"/>
  <c r="H277"/>
  <c r="G277"/>
  <c r="M274"/>
  <c r="L274"/>
  <c r="K274"/>
  <c r="J274"/>
  <c r="H274"/>
  <c r="G274"/>
  <c r="M271"/>
  <c r="L271"/>
  <c r="K271"/>
  <c r="J271"/>
  <c r="H271"/>
  <c r="G271"/>
  <c r="I270"/>
  <c r="I269"/>
  <c r="M268"/>
  <c r="L268"/>
  <c r="K268"/>
  <c r="J268"/>
  <c r="H268"/>
  <c r="G268"/>
  <c r="M267"/>
  <c r="M406" s="1"/>
  <c r="M266"/>
  <c r="L265"/>
  <c r="K265"/>
  <c r="J265"/>
  <c r="H265"/>
  <c r="G265"/>
  <c r="I264"/>
  <c r="I263"/>
  <c r="M262"/>
  <c r="L262"/>
  <c r="K262"/>
  <c r="J262"/>
  <c r="H262"/>
  <c r="G262"/>
  <c r="I261"/>
  <c r="U260"/>
  <c r="M260"/>
  <c r="AC259"/>
  <c r="AB259"/>
  <c r="AA259"/>
  <c r="Z259"/>
  <c r="Y259"/>
  <c r="X259"/>
  <c r="W259"/>
  <c r="V259"/>
  <c r="L259"/>
  <c r="K259"/>
  <c r="J259"/>
  <c r="H259"/>
  <c r="G259"/>
  <c r="M257"/>
  <c r="M256"/>
  <c r="I256" s="1"/>
  <c r="AC255"/>
  <c r="AB255"/>
  <c r="AA255"/>
  <c r="Z255"/>
  <c r="Y255"/>
  <c r="X255"/>
  <c r="W255"/>
  <c r="V255"/>
  <c r="U255"/>
  <c r="T255"/>
  <c r="S255"/>
  <c r="L255"/>
  <c r="K255"/>
  <c r="J255"/>
  <c r="I254"/>
  <c r="V253"/>
  <c r="P399"/>
  <c r="O399"/>
  <c r="I253"/>
  <c r="AC252"/>
  <c r="AB252"/>
  <c r="AA252"/>
  <c r="Z252"/>
  <c r="Y252"/>
  <c r="X252"/>
  <c r="W252"/>
  <c r="U252"/>
  <c r="T252"/>
  <c r="S252"/>
  <c r="M252"/>
  <c r="L252"/>
  <c r="K252"/>
  <c r="J252"/>
  <c r="M251"/>
  <c r="M250"/>
  <c r="I250" s="1"/>
  <c r="AC249"/>
  <c r="AB249"/>
  <c r="AA249"/>
  <c r="Z249"/>
  <c r="Y249"/>
  <c r="X249"/>
  <c r="W249"/>
  <c r="V249"/>
  <c r="U249"/>
  <c r="T249"/>
  <c r="S249"/>
  <c r="L249"/>
  <c r="K249"/>
  <c r="J249"/>
  <c r="M248"/>
  <c r="M247"/>
  <c r="AC246"/>
  <c r="AB246"/>
  <c r="AA246"/>
  <c r="Z246"/>
  <c r="Y246"/>
  <c r="X246"/>
  <c r="W246"/>
  <c r="V246"/>
  <c r="U246"/>
  <c r="T246"/>
  <c r="S246"/>
  <c r="L246"/>
  <c r="K246"/>
  <c r="J246"/>
  <c r="AC244"/>
  <c r="AB244"/>
  <c r="AA244"/>
  <c r="Z244"/>
  <c r="Y244"/>
  <c r="X244"/>
  <c r="W244"/>
  <c r="V244"/>
  <c r="U244"/>
  <c r="T244"/>
  <c r="S244"/>
  <c r="M244"/>
  <c r="L244"/>
  <c r="K244"/>
  <c r="J244"/>
  <c r="U242"/>
  <c r="U241" s="1"/>
  <c r="T242"/>
  <c r="S397"/>
  <c r="S396" s="1"/>
  <c r="M242"/>
  <c r="M397" s="1"/>
  <c r="M396" s="1"/>
  <c r="AC241"/>
  <c r="AB241"/>
  <c r="AA241"/>
  <c r="Z241"/>
  <c r="Y241"/>
  <c r="X241"/>
  <c r="W241"/>
  <c r="V241"/>
  <c r="S241"/>
  <c r="P241"/>
  <c r="N241"/>
  <c r="M241"/>
  <c r="L241"/>
  <c r="K241"/>
  <c r="J241"/>
  <c r="H241"/>
  <c r="G241"/>
  <c r="M239"/>
  <c r="M238" s="1"/>
  <c r="AC238"/>
  <c r="AB238"/>
  <c r="AA238"/>
  <c r="Z238"/>
  <c r="Y238"/>
  <c r="X238"/>
  <c r="W238"/>
  <c r="V238"/>
  <c r="U238"/>
  <c r="L238"/>
  <c r="K238"/>
  <c r="J238"/>
  <c r="H238"/>
  <c r="G238"/>
  <c r="I237"/>
  <c r="I236"/>
  <c r="AC235"/>
  <c r="AB235"/>
  <c r="AA235"/>
  <c r="Z235"/>
  <c r="Y235"/>
  <c r="X235"/>
  <c r="W235"/>
  <c r="V235"/>
  <c r="U235"/>
  <c r="M235"/>
  <c r="L235"/>
  <c r="K235"/>
  <c r="J235"/>
  <c r="H235"/>
  <c r="G235"/>
  <c r="O392"/>
  <c r="N392"/>
  <c r="AC232"/>
  <c r="AB232"/>
  <c r="AA232"/>
  <c r="Z232"/>
  <c r="Y232"/>
  <c r="X232"/>
  <c r="W232"/>
  <c r="V232"/>
  <c r="U232"/>
  <c r="M232"/>
  <c r="L232"/>
  <c r="K232"/>
  <c r="J232"/>
  <c r="H232"/>
  <c r="G232"/>
  <c r="I231"/>
  <c r="I230"/>
  <c r="AC229"/>
  <c r="AB229"/>
  <c r="AA229"/>
  <c r="Z229"/>
  <c r="Y229"/>
  <c r="X229"/>
  <c r="W229"/>
  <c r="V229"/>
  <c r="U229"/>
  <c r="M229"/>
  <c r="L229"/>
  <c r="K229"/>
  <c r="J229"/>
  <c r="H229"/>
  <c r="G229"/>
  <c r="I228"/>
  <c r="I393" s="1"/>
  <c r="T392"/>
  <c r="I227"/>
  <c r="T391"/>
  <c r="M226"/>
  <c r="M225" s="1"/>
  <c r="AC225"/>
  <c r="AB225"/>
  <c r="AA225"/>
  <c r="Z225"/>
  <c r="Y225"/>
  <c r="X225"/>
  <c r="W225"/>
  <c r="V225"/>
  <c r="U225"/>
  <c r="L225"/>
  <c r="K225"/>
  <c r="J225"/>
  <c r="H225"/>
  <c r="G225"/>
  <c r="I223"/>
  <c r="AC222"/>
  <c r="AB222"/>
  <c r="AA222"/>
  <c r="Z222"/>
  <c r="Y222"/>
  <c r="X222"/>
  <c r="W222"/>
  <c r="V222"/>
  <c r="U222"/>
  <c r="T222"/>
  <c r="S222"/>
  <c r="Q222"/>
  <c r="P222"/>
  <c r="O222"/>
  <c r="N222"/>
  <c r="M222"/>
  <c r="L222"/>
  <c r="K222"/>
  <c r="J222"/>
  <c r="H222"/>
  <c r="G222"/>
  <c r="N221"/>
  <c r="N385" s="1"/>
  <c r="N384" s="1"/>
  <c r="AC220"/>
  <c r="AB220"/>
  <c r="AA220"/>
  <c r="Z220"/>
  <c r="Y220"/>
  <c r="X220"/>
  <c r="W220"/>
  <c r="V220"/>
  <c r="U220"/>
  <c r="T220"/>
  <c r="S220"/>
  <c r="Q220"/>
  <c r="P220"/>
  <c r="O220"/>
  <c r="M220"/>
  <c r="L220"/>
  <c r="K220"/>
  <c r="J220"/>
  <c r="H220"/>
  <c r="G220"/>
  <c r="I219"/>
  <c r="AC218"/>
  <c r="AB218"/>
  <c r="AA218"/>
  <c r="Z218"/>
  <c r="Y218"/>
  <c r="X218"/>
  <c r="W218"/>
  <c r="V218"/>
  <c r="U218"/>
  <c r="T218"/>
  <c r="S218"/>
  <c r="Q218"/>
  <c r="P218"/>
  <c r="O218"/>
  <c r="N218"/>
  <c r="M218"/>
  <c r="L218"/>
  <c r="K218"/>
  <c r="J218"/>
  <c r="H218"/>
  <c r="G218"/>
  <c r="I216"/>
  <c r="M215"/>
  <c r="L215"/>
  <c r="K215"/>
  <c r="J215"/>
  <c r="H215"/>
  <c r="G215"/>
  <c r="I214"/>
  <c r="M213"/>
  <c r="L213"/>
  <c r="K213"/>
  <c r="J213"/>
  <c r="H213"/>
  <c r="G213"/>
  <c r="I212"/>
  <c r="I211"/>
  <c r="M210"/>
  <c r="L210"/>
  <c r="K210"/>
  <c r="J210"/>
  <c r="H210"/>
  <c r="G210"/>
  <c r="I209"/>
  <c r="M207"/>
  <c r="L207"/>
  <c r="K207"/>
  <c r="J207"/>
  <c r="H207"/>
  <c r="G207"/>
  <c r="I206"/>
  <c r="I205"/>
  <c r="M204"/>
  <c r="L204"/>
  <c r="K204"/>
  <c r="J204"/>
  <c r="H204"/>
  <c r="G204"/>
  <c r="M202"/>
  <c r="M201" s="1"/>
  <c r="L201"/>
  <c r="K201"/>
  <c r="J201"/>
  <c r="H201"/>
  <c r="G201"/>
  <c r="I200"/>
  <c r="I199"/>
  <c r="M198"/>
  <c r="L198"/>
  <c r="K198"/>
  <c r="J198"/>
  <c r="H198"/>
  <c r="G198"/>
  <c r="I197"/>
  <c r="I196"/>
  <c r="M195"/>
  <c r="L195"/>
  <c r="K195"/>
  <c r="J195"/>
  <c r="H195"/>
  <c r="G195"/>
  <c r="I194"/>
  <c r="I193"/>
  <c r="AC192"/>
  <c r="AB192"/>
  <c r="AA192"/>
  <c r="M192"/>
  <c r="L192"/>
  <c r="K192"/>
  <c r="J192"/>
  <c r="H192"/>
  <c r="G192"/>
  <c r="I191"/>
  <c r="I190"/>
  <c r="AC189"/>
  <c r="AB189"/>
  <c r="AA189"/>
  <c r="M189"/>
  <c r="L189"/>
  <c r="K189"/>
  <c r="J189"/>
  <c r="H189"/>
  <c r="G189"/>
  <c r="I188"/>
  <c r="I187"/>
  <c r="AC186"/>
  <c r="AB186"/>
  <c r="AA186"/>
  <c r="M186"/>
  <c r="L186"/>
  <c r="K186"/>
  <c r="J186"/>
  <c r="H186"/>
  <c r="G186"/>
  <c r="I185"/>
  <c r="M184"/>
  <c r="M183" s="1"/>
  <c r="L183"/>
  <c r="K183"/>
  <c r="J183"/>
  <c r="H183"/>
  <c r="G183"/>
  <c r="M182"/>
  <c r="M181" s="1"/>
  <c r="L181"/>
  <c r="K181"/>
  <c r="J181"/>
  <c r="H181"/>
  <c r="G181"/>
  <c r="O179"/>
  <c r="O178" s="1"/>
  <c r="AC178"/>
  <c r="AB178"/>
  <c r="AA178"/>
  <c r="Z178"/>
  <c r="Y178"/>
  <c r="X178"/>
  <c r="W178"/>
  <c r="V178"/>
  <c r="U178"/>
  <c r="T178"/>
  <c r="S178"/>
  <c r="Q178"/>
  <c r="P178"/>
  <c r="N178"/>
  <c r="M178"/>
  <c r="L178"/>
  <c r="K178"/>
  <c r="J178"/>
  <c r="H178"/>
  <c r="G178"/>
  <c r="I176"/>
  <c r="F176" s="1"/>
  <c r="F175" s="1"/>
  <c r="M175"/>
  <c r="I174"/>
  <c r="F174" s="1"/>
  <c r="F173" s="1"/>
  <c r="M173"/>
  <c r="M171"/>
  <c r="M170" s="1"/>
  <c r="L170"/>
  <c r="K170"/>
  <c r="J170"/>
  <c r="H170"/>
  <c r="G170"/>
  <c r="I169"/>
  <c r="I168"/>
  <c r="M167"/>
  <c r="L167"/>
  <c r="K167"/>
  <c r="J167"/>
  <c r="H167"/>
  <c r="G167"/>
  <c r="I166"/>
  <c r="I371" s="1"/>
  <c r="I165"/>
  <c r="M164"/>
  <c r="M163" s="1"/>
  <c r="L163"/>
  <c r="K163"/>
  <c r="J163"/>
  <c r="M162"/>
  <c r="L161"/>
  <c r="K161"/>
  <c r="J161"/>
  <c r="I159"/>
  <c r="M158"/>
  <c r="L158"/>
  <c r="K158"/>
  <c r="J158"/>
  <c r="H158"/>
  <c r="G158"/>
  <c r="I157"/>
  <c r="I362" s="1"/>
  <c r="I156"/>
  <c r="M155"/>
  <c r="L155"/>
  <c r="K155"/>
  <c r="J155"/>
  <c r="H155"/>
  <c r="G155"/>
  <c r="I154"/>
  <c r="I153"/>
  <c r="M152"/>
  <c r="L152"/>
  <c r="K152"/>
  <c r="J152"/>
  <c r="H152"/>
  <c r="G152"/>
  <c r="S361"/>
  <c r="M150"/>
  <c r="L150"/>
  <c r="K150"/>
  <c r="J150"/>
  <c r="H150"/>
  <c r="G150"/>
  <c r="M149"/>
  <c r="M361" s="1"/>
  <c r="L148"/>
  <c r="K148"/>
  <c r="J148"/>
  <c r="H148"/>
  <c r="G148"/>
  <c r="M145"/>
  <c r="L145"/>
  <c r="K145"/>
  <c r="J145"/>
  <c r="H145"/>
  <c r="G145"/>
  <c r="M143"/>
  <c r="L143"/>
  <c r="K143"/>
  <c r="J143"/>
  <c r="H143"/>
  <c r="G143"/>
  <c r="I142"/>
  <c r="M141"/>
  <c r="L141"/>
  <c r="K141"/>
  <c r="J141"/>
  <c r="I140"/>
  <c r="I139"/>
  <c r="M137"/>
  <c r="L137"/>
  <c r="K137"/>
  <c r="J137"/>
  <c r="I136"/>
  <c r="O356"/>
  <c r="M135"/>
  <c r="M356" s="1"/>
  <c r="I134"/>
  <c r="L133"/>
  <c r="K133"/>
  <c r="J133"/>
  <c r="H133"/>
  <c r="G133"/>
  <c r="I132"/>
  <c r="I131"/>
  <c r="M130"/>
  <c r="L130"/>
  <c r="K130"/>
  <c r="J130"/>
  <c r="H130"/>
  <c r="G130"/>
  <c r="T356"/>
  <c r="I129"/>
  <c r="I128"/>
  <c r="M127"/>
  <c r="L127"/>
  <c r="K127"/>
  <c r="J127"/>
  <c r="H127"/>
  <c r="G127"/>
  <c r="I126"/>
  <c r="I125"/>
  <c r="M124"/>
  <c r="L124"/>
  <c r="K124"/>
  <c r="J124"/>
  <c r="H124"/>
  <c r="G124"/>
  <c r="I123"/>
  <c r="I122"/>
  <c r="M121"/>
  <c r="L121"/>
  <c r="K121"/>
  <c r="J121"/>
  <c r="H121"/>
  <c r="G121"/>
  <c r="S356"/>
  <c r="I120"/>
  <c r="M119"/>
  <c r="M118" s="1"/>
  <c r="L118"/>
  <c r="K118"/>
  <c r="J118"/>
  <c r="H118"/>
  <c r="G118"/>
  <c r="I117"/>
  <c r="I116"/>
  <c r="M115"/>
  <c r="L115"/>
  <c r="K115"/>
  <c r="J115"/>
  <c r="H115"/>
  <c r="G115"/>
  <c r="I114"/>
  <c r="I113"/>
  <c r="M112"/>
  <c r="I112" s="1"/>
  <c r="L111"/>
  <c r="K111"/>
  <c r="J111"/>
  <c r="I110"/>
  <c r="I109"/>
  <c r="I108"/>
  <c r="M107"/>
  <c r="M106" s="1"/>
  <c r="L106"/>
  <c r="K106"/>
  <c r="J106"/>
  <c r="I105"/>
  <c r="M104"/>
  <c r="I104" s="1"/>
  <c r="L103"/>
  <c r="K103"/>
  <c r="J103"/>
  <c r="H103"/>
  <c r="G103"/>
  <c r="I102"/>
  <c r="M101"/>
  <c r="M100" s="1"/>
  <c r="L100"/>
  <c r="K100"/>
  <c r="J100"/>
  <c r="H100"/>
  <c r="G100"/>
  <c r="I99"/>
  <c r="M97"/>
  <c r="L97"/>
  <c r="K97"/>
  <c r="J97"/>
  <c r="H97"/>
  <c r="G97"/>
  <c r="I96"/>
  <c r="M94"/>
  <c r="M93" s="1"/>
  <c r="L93"/>
  <c r="K93"/>
  <c r="J93"/>
  <c r="H93"/>
  <c r="G93"/>
  <c r="M90"/>
  <c r="L90"/>
  <c r="K90"/>
  <c r="J90"/>
  <c r="I89"/>
  <c r="M87"/>
  <c r="L87"/>
  <c r="K87"/>
  <c r="J87"/>
  <c r="H87"/>
  <c r="G87"/>
  <c r="I86"/>
  <c r="I85"/>
  <c r="I84"/>
  <c r="AC83"/>
  <c r="AB83"/>
  <c r="AA83"/>
  <c r="Z83"/>
  <c r="I82"/>
  <c r="I81"/>
  <c r="I80"/>
  <c r="M79"/>
  <c r="M78"/>
  <c r="M353" s="1"/>
  <c r="I74"/>
  <c r="I73"/>
  <c r="M72"/>
  <c r="L72"/>
  <c r="K72"/>
  <c r="J72"/>
  <c r="H72"/>
  <c r="G72"/>
  <c r="M70"/>
  <c r="L70"/>
  <c r="K70"/>
  <c r="J70"/>
  <c r="H70"/>
  <c r="G70"/>
  <c r="I69"/>
  <c r="I68"/>
  <c r="M67"/>
  <c r="L67"/>
  <c r="K67"/>
  <c r="J67"/>
  <c r="H67"/>
  <c r="G67"/>
  <c r="I66"/>
  <c r="I65"/>
  <c r="M64"/>
  <c r="L64"/>
  <c r="K64"/>
  <c r="J64"/>
  <c r="H64"/>
  <c r="G64"/>
  <c r="M61"/>
  <c r="L61"/>
  <c r="K61"/>
  <c r="J61"/>
  <c r="H61"/>
  <c r="G61"/>
  <c r="M60"/>
  <c r="M59"/>
  <c r="L58"/>
  <c r="K58"/>
  <c r="J58"/>
  <c r="H58"/>
  <c r="G58"/>
  <c r="I57"/>
  <c r="I56"/>
  <c r="M55"/>
  <c r="L55"/>
  <c r="K55"/>
  <c r="J55"/>
  <c r="H55"/>
  <c r="G55"/>
  <c r="M54"/>
  <c r="M53"/>
  <c r="L52"/>
  <c r="K52"/>
  <c r="J52"/>
  <c r="H52"/>
  <c r="G52"/>
  <c r="I51"/>
  <c r="I50"/>
  <c r="M49"/>
  <c r="L49"/>
  <c r="K49"/>
  <c r="J49"/>
  <c r="H49"/>
  <c r="G49"/>
  <c r="I48"/>
  <c r="M47"/>
  <c r="L47"/>
  <c r="K47"/>
  <c r="J47"/>
  <c r="H47"/>
  <c r="G47"/>
  <c r="I46"/>
  <c r="I45"/>
  <c r="M44"/>
  <c r="M43" s="1"/>
  <c r="AC43"/>
  <c r="AB43"/>
  <c r="AA43"/>
  <c r="Z43"/>
  <c r="L43"/>
  <c r="K43"/>
  <c r="J43"/>
  <c r="M41"/>
  <c r="L41"/>
  <c r="K41"/>
  <c r="J41"/>
  <c r="H41"/>
  <c r="G41"/>
  <c r="I40"/>
  <c r="I39"/>
  <c r="M38"/>
  <c r="AC37"/>
  <c r="AB37"/>
  <c r="AA37"/>
  <c r="Z37"/>
  <c r="I36"/>
  <c r="I35"/>
  <c r="M34"/>
  <c r="AC33"/>
  <c r="AB33"/>
  <c r="AA33"/>
  <c r="Z33"/>
  <c r="I32"/>
  <c r="AC31"/>
  <c r="AB31"/>
  <c r="AA31"/>
  <c r="Z31"/>
  <c r="M31"/>
  <c r="L31"/>
  <c r="K31"/>
  <c r="J31"/>
  <c r="H31"/>
  <c r="G31"/>
  <c r="I30"/>
  <c r="I29"/>
  <c r="M28"/>
  <c r="L28"/>
  <c r="K28"/>
  <c r="J28"/>
  <c r="H28"/>
  <c r="G28"/>
  <c r="I27"/>
  <c r="M26"/>
  <c r="M25" s="1"/>
  <c r="L25"/>
  <c r="K25"/>
  <c r="J25"/>
  <c r="H25"/>
  <c r="G25"/>
  <c r="I24"/>
  <c r="M23"/>
  <c r="M22" s="1"/>
  <c r="L22"/>
  <c r="K22"/>
  <c r="J22"/>
  <c r="H22"/>
  <c r="G22"/>
  <c r="I21"/>
  <c r="M20"/>
  <c r="M19" s="1"/>
  <c r="AC19"/>
  <c r="AB19"/>
  <c r="AA19"/>
  <c r="Z19"/>
  <c r="L19"/>
  <c r="K19"/>
  <c r="J19"/>
  <c r="H19"/>
  <c r="G19"/>
  <c r="M16"/>
  <c r="L16"/>
  <c r="K16"/>
  <c r="J16"/>
  <c r="H16"/>
  <c r="G16"/>
  <c r="I15"/>
  <c r="M12"/>
  <c r="L12"/>
  <c r="K12"/>
  <c r="J12"/>
  <c r="I11"/>
  <c r="M10"/>
  <c r="L10"/>
  <c r="K10"/>
  <c r="J10"/>
  <c r="H10"/>
  <c r="G10"/>
  <c r="I9"/>
  <c r="I8"/>
  <c r="F8" s="1"/>
  <c r="M7"/>
  <c r="L7"/>
  <c r="K7"/>
  <c r="J7"/>
  <c r="H7"/>
  <c r="G7"/>
  <c r="AB378" l="1"/>
  <c r="R222"/>
  <c r="R246"/>
  <c r="R249"/>
  <c r="X378"/>
  <c r="AD12"/>
  <c r="AD22"/>
  <c r="AD28"/>
  <c r="AD183"/>
  <c r="AD195"/>
  <c r="R255"/>
  <c r="R218"/>
  <c r="AD218" s="1"/>
  <c r="V399"/>
  <c r="V398" s="1"/>
  <c r="R253"/>
  <c r="R399" s="1"/>
  <c r="R178"/>
  <c r="R220"/>
  <c r="M103"/>
  <c r="I103" s="1"/>
  <c r="X410"/>
  <c r="AD385"/>
  <c r="AD384" s="1"/>
  <c r="AD7"/>
  <c r="AD10"/>
  <c r="AD16"/>
  <c r="AD25"/>
  <c r="AD37"/>
  <c r="AD41"/>
  <c r="AD83"/>
  <c r="AD67"/>
  <c r="AD111"/>
  <c r="AD130"/>
  <c r="AD137"/>
  <c r="AD143"/>
  <c r="AD141"/>
  <c r="AD148"/>
  <c r="AD150"/>
  <c r="AD158"/>
  <c r="AD181"/>
  <c r="AD213"/>
  <c r="AD215"/>
  <c r="AD178"/>
  <c r="H366"/>
  <c r="L410"/>
  <c r="AD400"/>
  <c r="AD90"/>
  <c r="AD79"/>
  <c r="AD64"/>
  <c r="AD115"/>
  <c r="AD161"/>
  <c r="AD245"/>
  <c r="AD244" s="1"/>
  <c r="AD179"/>
  <c r="AD373" s="1"/>
  <c r="G360"/>
  <c r="L360"/>
  <c r="AD33"/>
  <c r="AD49"/>
  <c r="AD87"/>
  <c r="AD72"/>
  <c r="AD70"/>
  <c r="AD58"/>
  <c r="AD93"/>
  <c r="AD97"/>
  <c r="AD100"/>
  <c r="AD103"/>
  <c r="AD106"/>
  <c r="AD145"/>
  <c r="I137"/>
  <c r="I171"/>
  <c r="F171" s="1"/>
  <c r="E170" s="1"/>
  <c r="I334"/>
  <c r="AC378"/>
  <c r="AD249"/>
  <c r="U398"/>
  <c r="AD222"/>
  <c r="K366"/>
  <c r="T366"/>
  <c r="X366"/>
  <c r="H378"/>
  <c r="I72"/>
  <c r="I173"/>
  <c r="F330"/>
  <c r="E329" s="1"/>
  <c r="T398"/>
  <c r="AD255"/>
  <c r="I303"/>
  <c r="AB398"/>
  <c r="Z404"/>
  <c r="F30"/>
  <c r="I352"/>
  <c r="I175"/>
  <c r="AD220"/>
  <c r="V252"/>
  <c r="I262"/>
  <c r="I213"/>
  <c r="I143"/>
  <c r="I141"/>
  <c r="I145"/>
  <c r="I178"/>
  <c r="I222"/>
  <c r="AB410"/>
  <c r="I20"/>
  <c r="F20" s="1"/>
  <c r="E19" s="1"/>
  <c r="F40"/>
  <c r="F57"/>
  <c r="I316"/>
  <c r="F316" s="1"/>
  <c r="V346"/>
  <c r="F69"/>
  <c r="I301"/>
  <c r="F304"/>
  <c r="E303" s="1"/>
  <c r="F48"/>
  <c r="E47" s="1"/>
  <c r="N347"/>
  <c r="U405"/>
  <c r="U404" s="1"/>
  <c r="F337"/>
  <c r="U410"/>
  <c r="Y410"/>
  <c r="AC410"/>
  <c r="AD246"/>
  <c r="G404"/>
  <c r="F86"/>
  <c r="I101"/>
  <c r="F101" s="1"/>
  <c r="M111"/>
  <c r="I111" s="1"/>
  <c r="F139"/>
  <c r="I184"/>
  <c r="F184" s="1"/>
  <c r="I244"/>
  <c r="G345"/>
  <c r="Y345"/>
  <c r="J347"/>
  <c r="Y378"/>
  <c r="Y390"/>
  <c r="S398"/>
  <c r="H410"/>
  <c r="M346"/>
  <c r="I26"/>
  <c r="M75"/>
  <c r="F85"/>
  <c r="F102"/>
  <c r="I210"/>
  <c r="F263"/>
  <c r="E262" s="1"/>
  <c r="I286"/>
  <c r="F336"/>
  <c r="F420" s="1"/>
  <c r="V390"/>
  <c r="Z390"/>
  <c r="Q398"/>
  <c r="W398"/>
  <c r="AA398"/>
  <c r="H344"/>
  <c r="Y398"/>
  <c r="AC398"/>
  <c r="J404"/>
  <c r="F84"/>
  <c r="F117"/>
  <c r="F126"/>
  <c r="I155"/>
  <c r="F236"/>
  <c r="E235" s="1"/>
  <c r="F250"/>
  <c r="E249" s="1"/>
  <c r="F256"/>
  <c r="E255" s="1"/>
  <c r="I290"/>
  <c r="F290" s="1"/>
  <c r="E289" s="1"/>
  <c r="F298"/>
  <c r="E297" s="1"/>
  <c r="AC345"/>
  <c r="X346"/>
  <c r="H360"/>
  <c r="U390"/>
  <c r="J390"/>
  <c r="M133"/>
  <c r="I133" s="1"/>
  <c r="N220"/>
  <c r="I220" s="1"/>
  <c r="M391"/>
  <c r="M390" s="1"/>
  <c r="U259"/>
  <c r="I329"/>
  <c r="L347"/>
  <c r="K360"/>
  <c r="L378"/>
  <c r="U397"/>
  <c r="U396" s="1"/>
  <c r="L398"/>
  <c r="X398"/>
  <c r="Y404"/>
  <c r="Z416"/>
  <c r="U345"/>
  <c r="N416"/>
  <c r="T410"/>
  <c r="P410"/>
  <c r="F269"/>
  <c r="E268" s="1"/>
  <c r="T346"/>
  <c r="F230"/>
  <c r="E229" s="1"/>
  <c r="T390"/>
  <c r="F188"/>
  <c r="F191"/>
  <c r="F205"/>
  <c r="E204" s="1"/>
  <c r="F212"/>
  <c r="S360"/>
  <c r="T347"/>
  <c r="AB344"/>
  <c r="F109"/>
  <c r="F112"/>
  <c r="E111" s="1"/>
  <c r="O345"/>
  <c r="T345"/>
  <c r="X345"/>
  <c r="AB345"/>
  <c r="X354"/>
  <c r="P347"/>
  <c r="U347"/>
  <c r="Y347"/>
  <c r="AC347"/>
  <c r="U346"/>
  <c r="F21"/>
  <c r="F27"/>
  <c r="F32"/>
  <c r="E31" s="1"/>
  <c r="F51"/>
  <c r="F66"/>
  <c r="F68"/>
  <c r="E67" s="1"/>
  <c r="W345"/>
  <c r="F11"/>
  <c r="E10" s="1"/>
  <c r="M33"/>
  <c r="I33" s="1"/>
  <c r="I34"/>
  <c r="I208"/>
  <c r="F208" s="1"/>
  <c r="E207" s="1"/>
  <c r="V417"/>
  <c r="V416" s="1"/>
  <c r="V319"/>
  <c r="X360"/>
  <c r="X344"/>
  <c r="P355"/>
  <c r="U344"/>
  <c r="M37"/>
  <c r="I37" s="1"/>
  <c r="I38"/>
  <c r="F38" s="1"/>
  <c r="I59"/>
  <c r="F59" s="1"/>
  <c r="E58" s="1"/>
  <c r="M58"/>
  <c r="O373"/>
  <c r="O372" s="1"/>
  <c r="I179"/>
  <c r="I281"/>
  <c r="F281" s="1"/>
  <c r="I312"/>
  <c r="F312" s="1"/>
  <c r="E311" s="1"/>
  <c r="M311"/>
  <c r="I311" s="1"/>
  <c r="I313"/>
  <c r="O412"/>
  <c r="AB366"/>
  <c r="AB347"/>
  <c r="I274"/>
  <c r="I22"/>
  <c r="I70"/>
  <c r="F73"/>
  <c r="F99"/>
  <c r="F159"/>
  <c r="E158" s="1"/>
  <c r="F279"/>
  <c r="F131"/>
  <c r="E130" s="1"/>
  <c r="F193"/>
  <c r="E192" s="1"/>
  <c r="H343"/>
  <c r="K348"/>
  <c r="H347"/>
  <c r="L366"/>
  <c r="I162"/>
  <c r="F162" s="1"/>
  <c r="E161" s="1"/>
  <c r="M161"/>
  <c r="I161" s="1"/>
  <c r="P367"/>
  <c r="P366" s="1"/>
  <c r="I285"/>
  <c r="F285" s="1"/>
  <c r="E284" s="1"/>
  <c r="M284"/>
  <c r="I284" s="1"/>
  <c r="M294"/>
  <c r="I294" s="1"/>
  <c r="I295"/>
  <c r="F295" s="1"/>
  <c r="N408"/>
  <c r="N346" s="1"/>
  <c r="I276"/>
  <c r="F276" s="1"/>
  <c r="Q391"/>
  <c r="Q392"/>
  <c r="F227"/>
  <c r="O397"/>
  <c r="O396" s="1"/>
  <c r="O241"/>
  <c r="I241" s="1"/>
  <c r="T397"/>
  <c r="T396" s="1"/>
  <c r="T241"/>
  <c r="R241" s="1"/>
  <c r="O400"/>
  <c r="O398" s="1"/>
  <c r="P400"/>
  <c r="P398" s="1"/>
  <c r="AB346"/>
  <c r="AB348"/>
  <c r="F96"/>
  <c r="AC343"/>
  <c r="F168"/>
  <c r="E167" s="1"/>
  <c r="I189"/>
  <c r="F211"/>
  <c r="F231"/>
  <c r="F237"/>
  <c r="T405"/>
  <c r="T404" s="1"/>
  <c r="I273"/>
  <c r="F273" s="1"/>
  <c r="I287"/>
  <c r="F287" s="1"/>
  <c r="O406"/>
  <c r="Q366"/>
  <c r="N345"/>
  <c r="Y416"/>
  <c r="I19"/>
  <c r="I31"/>
  <c r="I62"/>
  <c r="F62" s="1"/>
  <c r="I88"/>
  <c r="F88" s="1"/>
  <c r="E87" s="1"/>
  <c r="I91"/>
  <c r="F116"/>
  <c r="I138"/>
  <c r="F138" s="1"/>
  <c r="M360"/>
  <c r="I183"/>
  <c r="I288"/>
  <c r="F288" s="1"/>
  <c r="O347"/>
  <c r="Y366"/>
  <c r="Z378"/>
  <c r="AB390"/>
  <c r="W390"/>
  <c r="X416"/>
  <c r="I23"/>
  <c r="F23" s="1"/>
  <c r="I49"/>
  <c r="V344"/>
  <c r="F82"/>
  <c r="Q355"/>
  <c r="F123"/>
  <c r="I124"/>
  <c r="I127"/>
  <c r="I130"/>
  <c r="F134"/>
  <c r="E133" s="1"/>
  <c r="F140"/>
  <c r="O367"/>
  <c r="O366" s="1"/>
  <c r="I163"/>
  <c r="I186"/>
  <c r="I192"/>
  <c r="I215"/>
  <c r="I218"/>
  <c r="I221"/>
  <c r="I385" s="1"/>
  <c r="I384" s="1"/>
  <c r="I234"/>
  <c r="F234" s="1"/>
  <c r="I238"/>
  <c r="I239"/>
  <c r="F254"/>
  <c r="I277"/>
  <c r="I280"/>
  <c r="I289"/>
  <c r="N411"/>
  <c r="N410" s="1"/>
  <c r="F306"/>
  <c r="F307"/>
  <c r="I314"/>
  <c r="I418"/>
  <c r="X343"/>
  <c r="AA348"/>
  <c r="M345"/>
  <c r="Q345"/>
  <c r="L346"/>
  <c r="P346"/>
  <c r="K347"/>
  <c r="V347"/>
  <c r="Z347"/>
  <c r="L354"/>
  <c r="G354"/>
  <c r="W360"/>
  <c r="AA360"/>
  <c r="U360"/>
  <c r="Y360"/>
  <c r="AC360"/>
  <c r="S366"/>
  <c r="W366"/>
  <c r="AA366"/>
  <c r="W378"/>
  <c r="AA378"/>
  <c r="G390"/>
  <c r="L344"/>
  <c r="G398"/>
  <c r="J398"/>
  <c r="Z398"/>
  <c r="X404"/>
  <c r="AB404"/>
  <c r="V410"/>
  <c r="Z410"/>
  <c r="U417"/>
  <c r="U416" s="1"/>
  <c r="G416"/>
  <c r="J416"/>
  <c r="AC416"/>
  <c r="T344"/>
  <c r="I17"/>
  <c r="F17" s="1"/>
  <c r="E16" s="1"/>
  <c r="I25"/>
  <c r="F74"/>
  <c r="F81"/>
  <c r="I93"/>
  <c r="I118"/>
  <c r="Q356"/>
  <c r="F122"/>
  <c r="F187"/>
  <c r="E186" s="1"/>
  <c r="F216"/>
  <c r="E215" s="1"/>
  <c r="F223"/>
  <c r="F222" s="1"/>
  <c r="M399"/>
  <c r="I297"/>
  <c r="K345"/>
  <c r="G366"/>
  <c r="U366"/>
  <c r="AC366"/>
  <c r="G378"/>
  <c r="X390"/>
  <c r="AB416"/>
  <c r="I10"/>
  <c r="I18"/>
  <c r="F18" s="1"/>
  <c r="I28"/>
  <c r="F35"/>
  <c r="F39"/>
  <c r="I41"/>
  <c r="I42"/>
  <c r="F42" s="1"/>
  <c r="F41" s="1"/>
  <c r="I44"/>
  <c r="F44" s="1"/>
  <c r="E43" s="1"/>
  <c r="F46"/>
  <c r="I63"/>
  <c r="F63" s="1"/>
  <c r="F65"/>
  <c r="I67"/>
  <c r="I76"/>
  <c r="M347"/>
  <c r="I79"/>
  <c r="I98"/>
  <c r="F98" s="1"/>
  <c r="I100"/>
  <c r="F104"/>
  <c r="E103" s="1"/>
  <c r="I107"/>
  <c r="I119"/>
  <c r="F120"/>
  <c r="F132"/>
  <c r="F142"/>
  <c r="E141" s="1"/>
  <c r="M148"/>
  <c r="I148" s="1"/>
  <c r="I149"/>
  <c r="F149" s="1"/>
  <c r="I152"/>
  <c r="F156"/>
  <c r="E155" s="1"/>
  <c r="I158"/>
  <c r="F190"/>
  <c r="E189" s="1"/>
  <c r="F200"/>
  <c r="I203"/>
  <c r="F203" s="1"/>
  <c r="I232"/>
  <c r="I242"/>
  <c r="I397" s="1"/>
  <c r="I396" s="1"/>
  <c r="I252"/>
  <c r="I268"/>
  <c r="I291"/>
  <c r="I299"/>
  <c r="I300"/>
  <c r="F300" s="1"/>
  <c r="E299" s="1"/>
  <c r="O411"/>
  <c r="I310"/>
  <c r="F310" s="1"/>
  <c r="F315"/>
  <c r="E314" s="1"/>
  <c r="O417"/>
  <c r="O416" s="1"/>
  <c r="I331"/>
  <c r="X348"/>
  <c r="G347"/>
  <c r="S347"/>
  <c r="W347"/>
  <c r="AA347"/>
  <c r="P356"/>
  <c r="S345"/>
  <c r="AA345"/>
  <c r="AC354"/>
  <c r="X347"/>
  <c r="AB360"/>
  <c r="K378"/>
  <c r="J378"/>
  <c r="H398"/>
  <c r="H404"/>
  <c r="Q405"/>
  <c r="Q404" s="1"/>
  <c r="AC404"/>
  <c r="J410"/>
  <c r="W344"/>
  <c r="F9"/>
  <c r="F29"/>
  <c r="I351"/>
  <c r="I43"/>
  <c r="F89"/>
  <c r="I121"/>
  <c r="I7"/>
  <c r="I47"/>
  <c r="F50"/>
  <c r="F110"/>
  <c r="F125"/>
  <c r="F129"/>
  <c r="I12"/>
  <c r="I13"/>
  <c r="M350"/>
  <c r="M52"/>
  <c r="I52" s="1"/>
  <c r="I54"/>
  <c r="F219"/>
  <c r="F15"/>
  <c r="F24"/>
  <c r="I53"/>
  <c r="F105"/>
  <c r="I16"/>
  <c r="F80"/>
  <c r="O380"/>
  <c r="I201"/>
  <c r="N391"/>
  <c r="N390" s="1"/>
  <c r="I233"/>
  <c r="F233" s="1"/>
  <c r="O405"/>
  <c r="S405"/>
  <c r="S404" s="1"/>
  <c r="I266"/>
  <c r="F266" s="1"/>
  <c r="M265"/>
  <c r="I265" s="1"/>
  <c r="I272"/>
  <c r="F272" s="1"/>
  <c r="I271"/>
  <c r="J343"/>
  <c r="J348"/>
  <c r="H346"/>
  <c r="H348"/>
  <c r="J354"/>
  <c r="J345"/>
  <c r="Z354"/>
  <c r="Z345"/>
  <c r="L404"/>
  <c r="L343"/>
  <c r="M349"/>
  <c r="I55"/>
  <c r="I60"/>
  <c r="F60" s="1"/>
  <c r="I64"/>
  <c r="I83"/>
  <c r="I87"/>
  <c r="I90"/>
  <c r="U355"/>
  <c r="U354" s="1"/>
  <c r="I97"/>
  <c r="O355"/>
  <c r="O354" s="1"/>
  <c r="S355"/>
  <c r="S354" s="1"/>
  <c r="I115"/>
  <c r="I135"/>
  <c r="F135" s="1"/>
  <c r="F165"/>
  <c r="I198"/>
  <c r="I207"/>
  <c r="F261"/>
  <c r="Y343"/>
  <c r="V345"/>
  <c r="AC346"/>
  <c r="L348"/>
  <c r="Z344"/>
  <c r="I358"/>
  <c r="Q346"/>
  <c r="Y346"/>
  <c r="I359"/>
  <c r="Q347"/>
  <c r="N367"/>
  <c r="AC390"/>
  <c r="S410"/>
  <c r="W410"/>
  <c r="AA410"/>
  <c r="I172"/>
  <c r="I170"/>
  <c r="S391"/>
  <c r="S390" s="1"/>
  <c r="I251"/>
  <c r="F251" s="1"/>
  <c r="M249"/>
  <c r="I249" s="1"/>
  <c r="I325"/>
  <c r="I324"/>
  <c r="AC348"/>
  <c r="AC344"/>
  <c r="G346"/>
  <c r="G348"/>
  <c r="P361"/>
  <c r="P360" s="1"/>
  <c r="F199"/>
  <c r="Q241"/>
  <c r="Q397"/>
  <c r="Q396" s="1"/>
  <c r="M400"/>
  <c r="I248"/>
  <c r="M246"/>
  <c r="N406"/>
  <c r="I267"/>
  <c r="I283"/>
  <c r="M282"/>
  <c r="I282" s="1"/>
  <c r="V405"/>
  <c r="V404" s="1"/>
  <c r="I309"/>
  <c r="F309" s="1"/>
  <c r="M308"/>
  <c r="I308" s="1"/>
  <c r="W343"/>
  <c r="W348"/>
  <c r="K390"/>
  <c r="K344"/>
  <c r="I246"/>
  <c r="N368"/>
  <c r="I61"/>
  <c r="F128"/>
  <c r="I144"/>
  <c r="F144" s="1"/>
  <c r="F157"/>
  <c r="F362" s="1"/>
  <c r="I164"/>
  <c r="F214"/>
  <c r="I226"/>
  <c r="F264"/>
  <c r="I275"/>
  <c r="F275" s="1"/>
  <c r="AA343"/>
  <c r="J344"/>
  <c r="V366"/>
  <c r="Z366"/>
  <c r="P379"/>
  <c r="P378" s="1"/>
  <c r="P416"/>
  <c r="O391"/>
  <c r="O390" s="1"/>
  <c r="I225"/>
  <c r="M405"/>
  <c r="M404" s="1"/>
  <c r="I260"/>
  <c r="M259"/>
  <c r="I259" s="1"/>
  <c r="T417"/>
  <c r="T416" s="1"/>
  <c r="I419"/>
  <c r="F323"/>
  <c r="Y348"/>
  <c r="Y344"/>
  <c r="AB354"/>
  <c r="AB343"/>
  <c r="I357"/>
  <c r="F136"/>
  <c r="F357" s="1"/>
  <c r="I150"/>
  <c r="O361"/>
  <c r="O360" s="1"/>
  <c r="I151"/>
  <c r="T361"/>
  <c r="T360" s="1"/>
  <c r="I182"/>
  <c r="O379"/>
  <c r="T379"/>
  <c r="T378" s="1"/>
  <c r="P397"/>
  <c r="P396" s="1"/>
  <c r="N399"/>
  <c r="N398" s="1"/>
  <c r="I245"/>
  <c r="Z343"/>
  <c r="Z348"/>
  <c r="AA390"/>
  <c r="AA344"/>
  <c r="N355"/>
  <c r="S344"/>
  <c r="I71"/>
  <c r="F71" s="1"/>
  <c r="I77"/>
  <c r="M355"/>
  <c r="M354" s="1"/>
  <c r="F197"/>
  <c r="F206"/>
  <c r="I14"/>
  <c r="I78"/>
  <c r="F78" s="1"/>
  <c r="I94"/>
  <c r="V355"/>
  <c r="V354" s="1"/>
  <c r="I106"/>
  <c r="T355"/>
  <c r="T354" s="1"/>
  <c r="I146"/>
  <c r="F146" s="1"/>
  <c r="F153"/>
  <c r="I167"/>
  <c r="I181"/>
  <c r="F194"/>
  <c r="I195"/>
  <c r="F196"/>
  <c r="I202"/>
  <c r="F202" s="1"/>
  <c r="I204"/>
  <c r="F209"/>
  <c r="I229"/>
  <c r="I235"/>
  <c r="I278"/>
  <c r="F278" s="1"/>
  <c r="I321"/>
  <c r="F326"/>
  <c r="F333"/>
  <c r="G344"/>
  <c r="Y354"/>
  <c r="J346"/>
  <c r="Z346"/>
  <c r="N380"/>
  <c r="P391"/>
  <c r="P390" s="1"/>
  <c r="K404"/>
  <c r="K410"/>
  <c r="I257"/>
  <c r="F257" s="1"/>
  <c r="M255"/>
  <c r="I255" s="1"/>
  <c r="Q411"/>
  <c r="Q410" s="1"/>
  <c r="I327"/>
  <c r="I328"/>
  <c r="F328" s="1"/>
  <c r="N356"/>
  <c r="M379"/>
  <c r="M378" s="1"/>
  <c r="V379"/>
  <c r="V378" s="1"/>
  <c r="I292"/>
  <c r="F292" s="1"/>
  <c r="E291" s="1"/>
  <c r="F302"/>
  <c r="E301" s="1"/>
  <c r="F317"/>
  <c r="E316" s="1"/>
  <c r="S417"/>
  <c r="S416" s="1"/>
  <c r="I322"/>
  <c r="G343"/>
  <c r="H345"/>
  <c r="L345"/>
  <c r="P345"/>
  <c r="K346"/>
  <c r="O346"/>
  <c r="J360"/>
  <c r="V360"/>
  <c r="Z360"/>
  <c r="I365"/>
  <c r="H390"/>
  <c r="L390"/>
  <c r="P405"/>
  <c r="P404" s="1"/>
  <c r="M417"/>
  <c r="M416" s="1"/>
  <c r="K416"/>
  <c r="Q361"/>
  <c r="Q360" s="1"/>
  <c r="M367"/>
  <c r="M366" s="1"/>
  <c r="Q379"/>
  <c r="Q378" s="1"/>
  <c r="U379"/>
  <c r="U378" s="1"/>
  <c r="N379"/>
  <c r="I247"/>
  <c r="F247" s="1"/>
  <c r="N405"/>
  <c r="F270"/>
  <c r="M411"/>
  <c r="M410" s="1"/>
  <c r="F296"/>
  <c r="I305"/>
  <c r="I319"/>
  <c r="F332"/>
  <c r="I335"/>
  <c r="K343"/>
  <c r="S346"/>
  <c r="W346"/>
  <c r="AA346"/>
  <c r="H354"/>
  <c r="K354"/>
  <c r="W354"/>
  <c r="AA354"/>
  <c r="N360"/>
  <c r="J366"/>
  <c r="K398"/>
  <c r="W404"/>
  <c r="AA404"/>
  <c r="G410"/>
  <c r="H416"/>
  <c r="L416"/>
  <c r="Q417"/>
  <c r="Q416" s="1"/>
  <c r="W416"/>
  <c r="AA416"/>
  <c r="F83" l="1"/>
  <c r="R398"/>
  <c r="R343"/>
  <c r="R342" s="1"/>
  <c r="R252"/>
  <c r="AD252" s="1"/>
  <c r="AD241"/>
  <c r="F97"/>
  <c r="N348"/>
  <c r="AD399"/>
  <c r="AD398" s="1"/>
  <c r="F245"/>
  <c r="F244" s="1"/>
  <c r="AD356"/>
  <c r="AD354" s="1"/>
  <c r="E100"/>
  <c r="F100"/>
  <c r="AD253"/>
  <c r="F253" s="1"/>
  <c r="F252" s="1"/>
  <c r="AD372"/>
  <c r="F67"/>
  <c r="F262"/>
  <c r="N378"/>
  <c r="F87"/>
  <c r="F291"/>
  <c r="F91"/>
  <c r="E90" s="1"/>
  <c r="F37"/>
  <c r="F204"/>
  <c r="E222"/>
  <c r="E83"/>
  <c r="F31"/>
  <c r="F19"/>
  <c r="M398"/>
  <c r="I392"/>
  <c r="E97"/>
  <c r="F158"/>
  <c r="F221"/>
  <c r="F385" s="1"/>
  <c r="F384" s="1"/>
  <c r="O378"/>
  <c r="F26"/>
  <c r="F25" s="1"/>
  <c r="F235"/>
  <c r="F47"/>
  <c r="F10"/>
  <c r="F418"/>
  <c r="F286"/>
  <c r="F192"/>
  <c r="F107"/>
  <c r="E106" s="1"/>
  <c r="Q344"/>
  <c r="F16"/>
  <c r="F141"/>
  <c r="F72"/>
  <c r="F133"/>
  <c r="E286"/>
  <c r="E37"/>
  <c r="O410"/>
  <c r="F305"/>
  <c r="F313"/>
  <c r="F412" s="1"/>
  <c r="L342"/>
  <c r="F130"/>
  <c r="F314"/>
  <c r="F255"/>
  <c r="F249"/>
  <c r="F58"/>
  <c r="F103"/>
  <c r="F189"/>
  <c r="E41"/>
  <c r="F119"/>
  <c r="F118" s="1"/>
  <c r="F239"/>
  <c r="E238" s="1"/>
  <c r="Q354"/>
  <c r="E305"/>
  <c r="F297"/>
  <c r="I412"/>
  <c r="N404"/>
  <c r="F268"/>
  <c r="O404"/>
  <c r="F248"/>
  <c r="F246" s="1"/>
  <c r="F228"/>
  <c r="F393" s="1"/>
  <c r="I380"/>
  <c r="F186"/>
  <c r="N344"/>
  <c r="F164"/>
  <c r="F367" s="1"/>
  <c r="AB342"/>
  <c r="E121"/>
  <c r="F121"/>
  <c r="F108"/>
  <c r="F359" s="1"/>
  <c r="F22"/>
  <c r="E22"/>
  <c r="F76"/>
  <c r="E75" s="1"/>
  <c r="F392"/>
  <c r="E64"/>
  <c r="F64"/>
  <c r="F280"/>
  <c r="E280"/>
  <c r="E210"/>
  <c r="F210"/>
  <c r="G342"/>
  <c r="O344"/>
  <c r="E72"/>
  <c r="I408"/>
  <c r="I346" s="1"/>
  <c r="F207"/>
  <c r="I356"/>
  <c r="I411"/>
  <c r="F229"/>
  <c r="I75"/>
  <c r="F54"/>
  <c r="F45"/>
  <c r="F351" s="1"/>
  <c r="X342"/>
  <c r="Q390"/>
  <c r="P354"/>
  <c r="I373"/>
  <c r="I372" s="1"/>
  <c r="F179"/>
  <c r="F166"/>
  <c r="F371" s="1"/>
  <c r="F284"/>
  <c r="H342"/>
  <c r="AC342"/>
  <c r="F53"/>
  <c r="P344"/>
  <c r="I353"/>
  <c r="I347" s="1"/>
  <c r="I58"/>
  <c r="F289"/>
  <c r="E127"/>
  <c r="F127"/>
  <c r="E198"/>
  <c r="F198"/>
  <c r="F28"/>
  <c r="E28"/>
  <c r="E195"/>
  <c r="F195"/>
  <c r="E327"/>
  <c r="F327"/>
  <c r="I350"/>
  <c r="F213"/>
  <c r="E213"/>
  <c r="E143"/>
  <c r="F143"/>
  <c r="I406"/>
  <c r="F267"/>
  <c r="F406" s="1"/>
  <c r="E183"/>
  <c r="F271"/>
  <c r="E271"/>
  <c r="F34"/>
  <c r="F49"/>
  <c r="E49"/>
  <c r="T343"/>
  <c r="T342" s="1"/>
  <c r="T348"/>
  <c r="I399"/>
  <c r="I379"/>
  <c r="F182"/>
  <c r="F260"/>
  <c r="I405"/>
  <c r="F185"/>
  <c r="F380" s="1"/>
  <c r="F277"/>
  <c r="E277"/>
  <c r="F201"/>
  <c r="E201"/>
  <c r="F70"/>
  <c r="E70"/>
  <c r="F274"/>
  <c r="E274"/>
  <c r="I391"/>
  <c r="S343"/>
  <c r="S342" s="1"/>
  <c r="S348"/>
  <c r="E308"/>
  <c r="F308"/>
  <c r="O343"/>
  <c r="O348"/>
  <c r="M348"/>
  <c r="M343"/>
  <c r="Q348"/>
  <c r="Q343"/>
  <c r="E265"/>
  <c r="E79"/>
  <c r="F79"/>
  <c r="E218"/>
  <c r="P348"/>
  <c r="P343"/>
  <c r="F124"/>
  <c r="E124"/>
  <c r="V343"/>
  <c r="V342" s="1"/>
  <c r="V348"/>
  <c r="F113"/>
  <c r="N343"/>
  <c r="K342"/>
  <c r="F419"/>
  <c r="AA342"/>
  <c r="F335"/>
  <c r="E334" s="1"/>
  <c r="F36"/>
  <c r="F352" s="1"/>
  <c r="F154"/>
  <c r="F365" s="1"/>
  <c r="W342"/>
  <c r="F283"/>
  <c r="E282" s="1"/>
  <c r="Y342"/>
  <c r="I361"/>
  <c r="I360" s="1"/>
  <c r="F13"/>
  <c r="I349"/>
  <c r="F322"/>
  <c r="I417"/>
  <c r="I416" s="1"/>
  <c r="F145"/>
  <c r="E145"/>
  <c r="F411"/>
  <c r="E294"/>
  <c r="F294"/>
  <c r="E61"/>
  <c r="F61"/>
  <c r="E115"/>
  <c r="F115"/>
  <c r="F331"/>
  <c r="E331"/>
  <c r="E152"/>
  <c r="I400"/>
  <c r="E232"/>
  <c r="F232"/>
  <c r="I355"/>
  <c r="F94"/>
  <c r="F172"/>
  <c r="F170" s="1"/>
  <c r="I368"/>
  <c r="F169"/>
  <c r="F167" s="1"/>
  <c r="E137"/>
  <c r="F137"/>
  <c r="U348"/>
  <c r="U343"/>
  <c r="U342" s="1"/>
  <c r="F148"/>
  <c r="E148"/>
  <c r="J342"/>
  <c r="N354"/>
  <c r="N366"/>
  <c r="F114"/>
  <c r="F358" s="1"/>
  <c r="F56"/>
  <c r="I345"/>
  <c r="F353"/>
  <c r="F77"/>
  <c r="I367"/>
  <c r="Z342"/>
  <c r="F325"/>
  <c r="F408"/>
  <c r="F155"/>
  <c r="M344"/>
  <c r="F52" l="1"/>
  <c r="E244"/>
  <c r="AD343"/>
  <c r="I390"/>
  <c r="F90"/>
  <c r="Q342"/>
  <c r="E25"/>
  <c r="AD344"/>
  <c r="I410"/>
  <c r="E252"/>
  <c r="O342"/>
  <c r="F220"/>
  <c r="E220"/>
  <c r="E118"/>
  <c r="F75"/>
  <c r="E163"/>
  <c r="F43"/>
  <c r="E52"/>
  <c r="F311"/>
  <c r="F345"/>
  <c r="I378"/>
  <c r="F410"/>
  <c r="F265"/>
  <c r="F400"/>
  <c r="F163"/>
  <c r="I366"/>
  <c r="N342"/>
  <c r="I354"/>
  <c r="F152"/>
  <c r="F151"/>
  <c r="F361" s="1"/>
  <c r="F360" s="1"/>
  <c r="F346"/>
  <c r="I404"/>
  <c r="F373"/>
  <c r="F372" s="1"/>
  <c r="E178"/>
  <c r="F347"/>
  <c r="P342"/>
  <c r="M342"/>
  <c r="E55"/>
  <c r="F55"/>
  <c r="E321"/>
  <c r="F321"/>
  <c r="F399"/>
  <c r="E246"/>
  <c r="F320"/>
  <c r="I348"/>
  <c r="I343"/>
  <c r="F379"/>
  <c r="F378" s="1"/>
  <c r="E181"/>
  <c r="F181"/>
  <c r="E33"/>
  <c r="F33"/>
  <c r="I344"/>
  <c r="F368"/>
  <c r="F366" s="1"/>
  <c r="F14"/>
  <c r="F350" s="1"/>
  <c r="F355"/>
  <c r="F93"/>
  <c r="E93"/>
  <c r="F242"/>
  <c r="E324"/>
  <c r="F324"/>
  <c r="E12"/>
  <c r="F356"/>
  <c r="F111"/>
  <c r="F405"/>
  <c r="F404" s="1"/>
  <c r="E259"/>
  <c r="F259"/>
  <c r="F226"/>
  <c r="I398"/>
  <c r="F183"/>
  <c r="AD342" l="1"/>
  <c r="F150"/>
  <c r="F398"/>
  <c r="I342"/>
  <c r="E150"/>
  <c r="F354"/>
  <c r="F344"/>
  <c r="F417"/>
  <c r="F416" s="1"/>
  <c r="E319"/>
  <c r="F349"/>
  <c r="E7"/>
  <c r="F7"/>
  <c r="F391"/>
  <c r="F390" s="1"/>
  <c r="E225"/>
  <c r="F225"/>
  <c r="F397"/>
  <c r="F396" s="1"/>
  <c r="E241"/>
  <c r="F12"/>
  <c r="F343" l="1"/>
  <c r="F342" s="1"/>
  <c r="F348"/>
</calcChain>
</file>

<file path=xl/sharedStrings.xml><?xml version="1.0" encoding="utf-8"?>
<sst xmlns="http://schemas.openxmlformats.org/spreadsheetml/2006/main" count="680" uniqueCount="333">
  <si>
    <t xml:space="preserve">Zadania Inwestycyjne na lata 2015 - 2019 w tym, które otrzymały dofinansowanie z funduszy europejskich </t>
  </si>
  <si>
    <t>L.p.</t>
  </si>
  <si>
    <t>Nazwa zadania</t>
  </si>
  <si>
    <t>Realizujący</t>
  </si>
  <si>
    <t>Lata realizacji</t>
  </si>
  <si>
    <t>ogółem śr. Budżetwe</t>
  </si>
  <si>
    <t>ogółem</t>
  </si>
  <si>
    <t>do 2014</t>
  </si>
  <si>
    <t>do 2015</t>
  </si>
  <si>
    <t>w latach planu</t>
  </si>
  <si>
    <t>po 2021</t>
  </si>
  <si>
    <t>po 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</si>
  <si>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</si>
  <si>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</si>
  <si>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</si>
  <si>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</si>
  <si>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</si>
  <si>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</si>
  <si>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</si>
  <si>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</si>
  <si>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</si>
  <si>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</si>
  <si>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</si>
  <si>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</si>
  <si>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</si>
  <si>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</si>
  <si>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</si>
  <si>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         TRANSPORT I ŁĄCZNOŚĆ </t>
  </si>
  <si>
    <t>Prace przygotowawcze i zadania towarzyszące inwestycjom drogowym</t>
  </si>
  <si>
    <t>2004
2028</t>
  </si>
  <si>
    <t>Środki własne</t>
  </si>
  <si>
    <t>Środki pozostałe - MPWiK</t>
  </si>
  <si>
    <t>Program ruchu pieszego</t>
  </si>
  <si>
    <t>ZDIUM
ZIM
DIG
BZP</t>
  </si>
  <si>
    <t>2015
2021</t>
  </si>
  <si>
    <t>Środki pozostałe</t>
  </si>
  <si>
    <t xml:space="preserve">Program rowerowy </t>
  </si>
  <si>
    <t>2006
2021</t>
  </si>
  <si>
    <t>Środki UE</t>
  </si>
  <si>
    <t xml:space="preserve">Spółka WI </t>
  </si>
  <si>
    <t>Spółka WI</t>
  </si>
  <si>
    <t>Przebudowa ul.Buforowej w ciągu drogi wojewódzkiej nr 395 we Wrocławiu</t>
  </si>
  <si>
    <t>2008
2018</t>
  </si>
  <si>
    <t xml:space="preserve">Zagospodarowanie terenu wschodniego  pomiędzy obszarem stadionu i rzeką Ślęzą </t>
  </si>
  <si>
    <t>2009
2015</t>
  </si>
  <si>
    <t>ZDIUM</t>
  </si>
  <si>
    <t>Rozbudowa systemu zarządzania ruchem we Wrocławiu, w tym o nowe sygnalizacje świetlne, wyświetlacze pomocnicze ITS oraz aplikację mobilną</t>
  </si>
  <si>
    <t>2016
2019</t>
  </si>
  <si>
    <t>Spółka WI
ZIM</t>
  </si>
  <si>
    <t xml:space="preserve">Budowa osi zachodniej we Wrocławiu w ciągu drogi krajowej nr 94 </t>
  </si>
  <si>
    <t>2008
2019</t>
  </si>
  <si>
    <t>Program poprawy stanu technicznego infrastruktury drogowej</t>
  </si>
  <si>
    <t>ZDiUM
Spółka WI
ZIM
WIM</t>
  </si>
  <si>
    <t>2008
2022</t>
  </si>
  <si>
    <t>2014
2016</t>
  </si>
  <si>
    <t>Rozbudowa zajezdni autobusowej przy ul. Obornickiej</t>
  </si>
  <si>
    <t>2014
2015</t>
  </si>
  <si>
    <t>Program inicjatyw lokalnych</t>
  </si>
  <si>
    <t xml:space="preserve">ZIM </t>
  </si>
  <si>
    <t>2000
2021</t>
  </si>
  <si>
    <t>GFOŚ</t>
  </si>
  <si>
    <t xml:space="preserve">Budowa ul.Racławickiej </t>
  </si>
  <si>
    <t>2008
2017</t>
  </si>
  <si>
    <t>WFOŚ</t>
  </si>
  <si>
    <t>Środki pozostałe-MPWiK,Deweloper</t>
  </si>
  <si>
    <t xml:space="preserve">Wrocławski Budżet Obywatelski </t>
  </si>
  <si>
    <t>BZP
ZDiUM</t>
  </si>
  <si>
    <t>2014
2020</t>
  </si>
  <si>
    <t xml:space="preserve">Budowa ul.Wojanowskiej i drogi w ciągu Alei Stabłowickiej we Wrocławiu </t>
  </si>
  <si>
    <t>2015
2017</t>
  </si>
  <si>
    <t>Budżet Państwa</t>
  </si>
  <si>
    <t>MAN Wrocław. Wrocławska sieć teleinformatyczna na potrzeby sprawnego zarządzania  miastem</t>
  </si>
  <si>
    <t>CUI</t>
  </si>
  <si>
    <t>2015
2019</t>
  </si>
  <si>
    <t>Rozbudowa układu drogowego w rejonie ulic Parafialnej i Pawiej</t>
  </si>
  <si>
    <t>Spólka WI</t>
  </si>
  <si>
    <t>2010
2019</t>
  </si>
  <si>
    <t>Środki pozostałe - MPWiK, INNE</t>
  </si>
  <si>
    <t>2016
2020</t>
  </si>
  <si>
    <t xml:space="preserve">Budowa Alei Wielkiej Wyspy we Wrocławiu </t>
  </si>
  <si>
    <t>Budowa systemu "Parkuj i Jedź" we Wrocławiu-Etap I</t>
  </si>
  <si>
    <t>2016
2018</t>
  </si>
  <si>
    <t>Przebudowa ul. Wilkszyńskiej</t>
  </si>
  <si>
    <t>2017
2018</t>
  </si>
  <si>
    <t>2017
2019</t>
  </si>
  <si>
    <t xml:space="preserve">Udział Miasta w budowie Wschodniej Obwodnicy Wrocławia </t>
  </si>
  <si>
    <t>DIG</t>
  </si>
  <si>
    <t>2018
2020</t>
  </si>
  <si>
    <t xml:space="preserve">Przebudowa ul.Mościckiego od ul. Topolowej do ul.Ziemniaczanej </t>
  </si>
  <si>
    <t>2014
2021</t>
  </si>
  <si>
    <t>Zintegrowany System Transportu Szynowego w Aglomeracji we Wrocławiu - etap III</t>
  </si>
  <si>
    <t>DIG
 ZTS
DZR
BZM</t>
  </si>
  <si>
    <t>Zintegrowany System Transportu Szynowego w Aglomeracji we Wrocławiu - etap IV</t>
  </si>
  <si>
    <t>Rozbudowa ul.Osobowickiej od Obwodnicy Śródmiejskiej Wrocławia do ul.Lipskiej</t>
  </si>
  <si>
    <t xml:space="preserve">
Spółka WI </t>
  </si>
  <si>
    <t>Program inicjatyw Rad Osiedli</t>
  </si>
  <si>
    <t>2017
2021</t>
  </si>
  <si>
    <t xml:space="preserve">           GOSPODARKA MIESZKANIOWA </t>
  </si>
  <si>
    <t xml:space="preserve">Program przebudowy  gminnego zasobu mieszkaniowego </t>
  </si>
  <si>
    <t>ZZK
Spółka WM
WicePrezydent</t>
  </si>
  <si>
    <t>2004
2021</t>
  </si>
  <si>
    <t>WFOŚ, NFOŚ</t>
  </si>
  <si>
    <t>Program rozwoju terenów pod mieszkalnictwo</t>
  </si>
  <si>
    <t>ZIM
DIG
ZDiUM
WNiSN</t>
  </si>
  <si>
    <t>2005                       2021</t>
  </si>
  <si>
    <t>Środki pozostałe - Developerzy</t>
  </si>
  <si>
    <t>Środki pozostałe - TBS</t>
  </si>
  <si>
    <t>2009
2021</t>
  </si>
  <si>
    <t>GFOŚ, WFOŚ</t>
  </si>
  <si>
    <t>Budowa infrastruktury technicznej, dróg oraz miejskich obiektów użyteczności publicznej na osiedlu " Nowe Żerniki"</t>
  </si>
  <si>
    <t>2013
2019</t>
  </si>
  <si>
    <t>Środki pozostałe-MPWiK,Fortum</t>
  </si>
  <si>
    <t>2013
2015</t>
  </si>
  <si>
    <t xml:space="preserve">Program Rewitalizacji Przedmieścia Oławskiego i Przedmieścia Odrzańskiego we Wrocławiu </t>
  </si>
  <si>
    <t>2015
2020</t>
  </si>
  <si>
    <t>Modelowa Rewitalizacja Miast-4 kąty na trójkącie</t>
  </si>
  <si>
    <t xml:space="preserve">Modernizacja zabudowy mieszkaniowo-usługowej - pierzei wschodniej, północnej i zachodniej placu Nowy Targ </t>
  </si>
  <si>
    <t>2015
2018</t>
  </si>
  <si>
    <t>Środki pozostałe -współnoty mieszkaniowe</t>
  </si>
  <si>
    <t>Program zagospodarowania wnętrz międzyblokowych i placów zabaw</t>
  </si>
  <si>
    <t>2005
2021</t>
  </si>
  <si>
    <t>Wrocławski Budżet Obywatelski</t>
  </si>
  <si>
    <t>ZZK
WM</t>
  </si>
  <si>
    <t xml:space="preserve">            DZIAŁALNOŚĆ USŁUGOWA</t>
  </si>
  <si>
    <t xml:space="preserve">Program modernizacji cmentarzy komunalnych </t>
  </si>
  <si>
    <t>ZCK</t>
  </si>
  <si>
    <t>2007
2021</t>
  </si>
  <si>
    <t>Prace przygotowawcze i zadania towarzyszące inwestycjom infrastrukturalnym</t>
  </si>
  <si>
    <t>Program rozwoju terenów pod aktywność gospodarczą</t>
  </si>
  <si>
    <t>Spółka WI
ZDiUM</t>
  </si>
  <si>
    <t>Środki pozostałe - MPWiK, Energia Pro</t>
  </si>
  <si>
    <t>Podniesienie dostępności e-usług danych przestrzennych państwowego zasobu geodezyjnego i kartograficznego we Wrocławiu</t>
  </si>
  <si>
    <t>ZGiKM</t>
  </si>
  <si>
    <t>2018
2019</t>
  </si>
  <si>
    <t>ZIM</t>
  </si>
  <si>
    <t>2014
2022</t>
  </si>
  <si>
    <t xml:space="preserve">           ADMINISTRACJA PUBLICZNA </t>
  </si>
  <si>
    <t xml:space="preserve">E- administracja </t>
  </si>
  <si>
    <t>2004
2020</t>
  </si>
  <si>
    <t xml:space="preserve">Rozbudowa Systemu Informacji Przestrzennej </t>
  </si>
  <si>
    <t xml:space="preserve">Środki pozostałe </t>
  </si>
  <si>
    <t>WOU</t>
  </si>
  <si>
    <t>System wspierający  windykacyję w Gminie Wrocław</t>
  </si>
  <si>
    <t>Kompleksowa modernizacja budynku użyteczności publicznej zlokalizowanego przy ul. Hubskiej 8-16 we Wrocławiu</t>
  </si>
  <si>
    <t>WI</t>
  </si>
  <si>
    <t xml:space="preserve">            BEZPIECZEŃSTWO PUBLICZNE I OCHRONA  PRZECIWPOŻAROWA </t>
  </si>
  <si>
    <t>WBZ</t>
  </si>
  <si>
    <t>Monitoring prewencyjny Wrocławia</t>
  </si>
  <si>
    <t xml:space="preserve">            OŚWIATA I WYCHOWANIE </t>
  </si>
  <si>
    <t>ZIM
WPP</t>
  </si>
  <si>
    <t>2006
2023</t>
  </si>
  <si>
    <t xml:space="preserve">Poprawa jakości kształcenia w LO nr XV we Wrocławiu poprzez zakup wyposażenia pracowni fizycznej i 4 pracowni cyfrowych </t>
  </si>
  <si>
    <t>LO nr XV
WZF</t>
  </si>
  <si>
    <t xml:space="preserve">Wyposażenie pracowni w Liceum Ogólnokształcącym nr V we Wrocławiu </t>
  </si>
  <si>
    <t>LO nr V
WZF</t>
  </si>
  <si>
    <t xml:space="preserve">Termomodernizacja obiektów oświatowych: Gimnazjum nr 3, Zespół Szkolno - Przedszkolny nr 14 (SP24), Zespół Szkolno - Przedszkolny nr 1 we Wrocławiu </t>
  </si>
  <si>
    <t>ZIM
WGP</t>
  </si>
  <si>
    <t xml:space="preserve">Budowa i przebudowa infrastruktury sportowej w obiektach oświatowych </t>
  </si>
  <si>
    <t>2006
2022</t>
  </si>
  <si>
    <t>Budowa hali pod samochód ciężarowy na potrzeby kształcenia praktycznego z Zespole Szkół nr 2 przy ul. Borowskiej 105 we Wrocławiu</t>
  </si>
  <si>
    <t>Wyposażenie wrocławskich szkół w pracownie przedmiotowe</t>
  </si>
  <si>
    <t>Edukacja i partnerstwo bez barier</t>
  </si>
  <si>
    <t>Predszkole nr 10
ZSP nr 12
WPP</t>
  </si>
  <si>
    <t>Przebudowa budynku B wraz z wyposażeniem w Centrum Kształcenia Praktycznego przy ul.Strzegomskiej 49a we Wrocławiu</t>
  </si>
  <si>
    <t>ZIM
CKP
WZF</t>
  </si>
  <si>
    <t>ZDiUM 
ZZM
ZZK</t>
  </si>
  <si>
    <t xml:space="preserve">          OCHRONA ZDROWIA</t>
  </si>
  <si>
    <t xml:space="preserve">Przebudowa pomieszczeń na potrzeby  centrum Neuropsychiatrii Neuromed </t>
  </si>
  <si>
    <t xml:space="preserve">            POMOC SPOŁECZNA</t>
  </si>
  <si>
    <t xml:space="preserve">Program Przebudowy Centrów Usług Socjalnych we Wrocławiu </t>
  </si>
  <si>
    <t>MCUS
ZIM</t>
  </si>
  <si>
    <t>Program Przebudowy obiektów na potrzeby MOPS</t>
  </si>
  <si>
    <t>DSS
ZIM
MOPS</t>
  </si>
  <si>
    <t>2013
2020</t>
  </si>
  <si>
    <t xml:space="preserve">            RODZINA</t>
  </si>
  <si>
    <t>Program budowy i przebudowy żłobków</t>
  </si>
  <si>
    <t xml:space="preserve">            POZOSTAŁE ZADANIA W ZAKRESIE POLITYKI SPOŁECZNEJ </t>
  </si>
  <si>
    <t>E-usługi  dla mieszkańców Wrocławia wspierające prowadzenie  konsultacji społecznych</t>
  </si>
  <si>
    <t>BPS
WZF</t>
  </si>
  <si>
    <t xml:space="preserve">           GOSPODARKA KOMUNALNA I OCHRONA ŚRODOWISKA </t>
  </si>
  <si>
    <t>Program modernizacji systemu odwodnienia Miasta</t>
  </si>
  <si>
    <t>ZZM 
DIG</t>
  </si>
  <si>
    <t>2007
2019</t>
  </si>
  <si>
    <t xml:space="preserve">Program rewitalizacji zieleni, nabrzeży i wysp odrzańskich </t>
  </si>
  <si>
    <t>ZIM 
 ZDiUM 
 ZZM
WKL</t>
  </si>
  <si>
    <t xml:space="preserve">Rewaloryzacja Parku Szczytnickiego </t>
  </si>
  <si>
    <t>ZZM</t>
  </si>
  <si>
    <t xml:space="preserve">Rewitalizacja kościółka p.w. św.Jana Nepomucena wraz z zagospodarowaniem przylegającego terenu w Parku Szczytnickim we Wrocławiu </t>
  </si>
  <si>
    <t>Grow Green - Zielone miasta na rzecz klimatu, wody, zrównoważonego rozwoju gospodarczego, zdrowych mieszkańców i środowisk</t>
  </si>
  <si>
    <t xml:space="preserve">Program likwidacji niskiej emisji na terenie Wrocława </t>
  </si>
  <si>
    <t>WSR</t>
  </si>
  <si>
    <t>2014
2018</t>
  </si>
  <si>
    <t>Program likwidacji niskiej emisji na terenie Wrocława- część II</t>
  </si>
  <si>
    <t>Budowa i przebudowa oświetlenia ulic i miejsc niebezpiecznych</t>
  </si>
  <si>
    <t>ZDiUM
ZIM
ZZM</t>
  </si>
  <si>
    <t xml:space="preserve">Zagospodarowanie Parku Milenijnego </t>
  </si>
  <si>
    <t xml:space="preserve">           KULTURA I OCHRONA DZIEDZICTWA NARODOWEGO </t>
  </si>
  <si>
    <t>Budowa Narodowego Forum Muzyki we Wrocławiu</t>
  </si>
  <si>
    <t>WKL
Spółka WI
NFM</t>
  </si>
  <si>
    <t>2004
2019</t>
  </si>
  <si>
    <t>Rewaloryzacja Zespołu Zabytkowych pomieszczeń Synagogi pod Białym Bocianem w ramach programu ścieżek kulturowych czterech świątyń</t>
  </si>
  <si>
    <t>MKZ
WKL</t>
  </si>
  <si>
    <t xml:space="preserve">Centrum Kultury i Centrum Biblioteczne na Psim Polu </t>
  </si>
  <si>
    <t>ZIM
WKL
MBP</t>
  </si>
  <si>
    <t>Rewitalizacja wnętrza kościoła p.w.św. Elżbiety we Wrocławiu poprzez rekonstrukcję organów Michaela Englera</t>
  </si>
  <si>
    <t>2012
2022</t>
  </si>
  <si>
    <t>ZIM
WTW</t>
  </si>
  <si>
    <t xml:space="preserve">Rewitalizacja części zabytkowej zajezdni tramwajowej przy ul.Legnickiej we Wrocławiu  </t>
  </si>
  <si>
    <t>Ruska 46 abc - przestrzeń dla kultury</t>
  </si>
  <si>
    <t xml:space="preserve">           KULTURA FIZYCZNA I SPORT </t>
  </si>
  <si>
    <t>Budowa boisk piłkarskich o sztucznych nawierzchniach</t>
  </si>
  <si>
    <t xml:space="preserve"> ZIM
MCS</t>
  </si>
  <si>
    <t>Przygotowanie infrastruktury sportowej w związku z World Games wraz z renowacją Stadionu Olimpijskiego</t>
  </si>
  <si>
    <t xml:space="preserve">ZIM
Spółka WI </t>
  </si>
  <si>
    <t>Program przebudowy miejskich obiektów sportowych</t>
  </si>
  <si>
    <t>MCS
ZIM
BSR</t>
  </si>
  <si>
    <t>DSS</t>
  </si>
  <si>
    <t xml:space="preserve">Rozbudowa infrastruktury rekreacyjnej na terenie WTWK Partynice </t>
  </si>
  <si>
    <t>NFOŚ</t>
  </si>
  <si>
    <t xml:space="preserve">PODSUMOWANIE </t>
  </si>
  <si>
    <t>ŁĄCZNIE W SEKTORACH</t>
  </si>
  <si>
    <t xml:space="preserve">TRANSPORT I ŁĄCZNOŚĆ </t>
  </si>
  <si>
    <t>GOSPODARKA MIESZKANIOWA</t>
  </si>
  <si>
    <t>DZIAŁALNOŚĆ USŁUGOWA</t>
  </si>
  <si>
    <t>ADMINISTRACJA PUBLICZNA</t>
  </si>
  <si>
    <t xml:space="preserve">BEZPIECZEŃSTWO PUBLICZNE I OCHRONA PRZECIWPOŻAROWA </t>
  </si>
  <si>
    <t xml:space="preserve">OŚWIATA I WYCHOWANIE </t>
  </si>
  <si>
    <t xml:space="preserve">OCHRONA ZDROWIA </t>
  </si>
  <si>
    <t xml:space="preserve">POMOC SPOŁECZNA  </t>
  </si>
  <si>
    <t>RODZINA</t>
  </si>
  <si>
    <t xml:space="preserve">POZOSTAŁE ZADANIA W ZAKRESIE POLITYKI SPOŁECZNEJ </t>
  </si>
  <si>
    <t xml:space="preserve">GOSPODARKA KOMUNALNA I OCHRONA ŚRODOWISKA  </t>
  </si>
  <si>
    <t xml:space="preserve">KULTURA I OCHRONA DZIEDZICTWA NARODOWEGO  </t>
  </si>
  <si>
    <t xml:space="preserve">KULTURA FIZYCZNA I SPORT </t>
  </si>
  <si>
    <t>GFOŚ, WFOŚ, NFOŚ</t>
  </si>
  <si>
    <t>ZZK</t>
  </si>
  <si>
    <t>2014
2019</t>
  </si>
  <si>
    <t>ZDiUM
Spółka WI
WZF
ZTS
ZIM
ZOJM
ZGKiKM
BZM</t>
  </si>
  <si>
    <t>ZZK
WZF
MOPS</t>
  </si>
  <si>
    <t>Modernizacja siedziby wrocławskiego Teatru Współczesnego -  udział Miasta</t>
  </si>
  <si>
    <t>Kompleksowa termomodernizacja wybranych kamienic przy ul. Brzeskiej ,ul. S.Chudoby i ul. I.Prądzyńskiego we Wrocławiu</t>
  </si>
  <si>
    <t>Kompleksowa termomodernizacja wybranych wielorodzinnych budynków mieszkalnych przy ul. Biskupa Tomasza I i ul. Mieleckiej we Wrocławiu</t>
  </si>
  <si>
    <t>Kompleksowa termomodernizacja wybranych wielorodzinnych budynków mieszkalnych przy ul. Wyszyńskiego i ul. Kurkowej we Wrocławiu</t>
  </si>
  <si>
    <t>Budowa systemu "Parkuj i Jedź" we Wrocławiu-Etap II</t>
  </si>
  <si>
    <t>Spółka WI
BPM
WZF
ZTS
ZDIUM</t>
  </si>
  <si>
    <t>Odra Centrum - budujemy tożsamość Odrzan - Budowa modelowego, niskoemisyjnego obiektu pływającego dla rozwoju edukacji, turystyki i przedsiębiorczości</t>
  </si>
  <si>
    <t xml:space="preserve">BPS
</t>
  </si>
  <si>
    <t>WTWK
DIG</t>
  </si>
  <si>
    <t>2015
2022</t>
  </si>
  <si>
    <t>2017
2020</t>
  </si>
  <si>
    <t>Rozbudowa infrastruktury rekreacyjnej na terenie WTWK-Partynice we Wrocławiu-Etap I- budowa parku linearnego wokół toru wyścigowego wraz z przyrodniczą ścieżka edukacyjną</t>
  </si>
  <si>
    <t>Przebudowa lokalu przy yl. Traugutta 119 we Wrocławiu na placówkę leczenia uzależnień</t>
  </si>
  <si>
    <t>Wice Prezydent</t>
  </si>
  <si>
    <t>Aranżacja przestrzeni Starej Piekarni oraz jej sceniczne wyposażenie celem powołania Centrum Sztuk Performatywnych-udział Miasta</t>
  </si>
  <si>
    <t>Instytut Grotowskiego</t>
  </si>
  <si>
    <t>Program likwidacji niskiej emisji na terenie Wrocława- część III</t>
  </si>
  <si>
    <t>Budowa wydzielonej trasy autobusowo - tramwajowej łączącej osiedle Nowy Dwór z Centrum Wrocławia</t>
  </si>
  <si>
    <t>Przebudowy i modernizacje w obiektach Urzędu Miejskiego Wrocławia</t>
  </si>
  <si>
    <t>2021
2022</t>
  </si>
  <si>
    <t>Wyposażenie gabinetów dentystycznych w specjalistyczny sprzęt stomatologiczny</t>
  </si>
  <si>
    <t>WZD</t>
  </si>
  <si>
    <t>2018
2022</t>
  </si>
  <si>
    <t>ZIM
WZF
ZS nr 2</t>
  </si>
  <si>
    <t>Spółka WI
BPM
BPM
WZF
ZTS
ZDIUM</t>
  </si>
  <si>
    <t>Spółka WI
ZTS
BZM
DZR</t>
  </si>
  <si>
    <t>WI
WOU</t>
  </si>
  <si>
    <t>BRD</t>
  </si>
  <si>
    <t>CUI
WZF</t>
  </si>
  <si>
    <t>BRD
ZZK
ZIM</t>
  </si>
  <si>
    <t>2017
2022</t>
  </si>
  <si>
    <t>DZR
BZM</t>
  </si>
  <si>
    <t>ZIM
WZZ
MBP</t>
  </si>
  <si>
    <t>ZIM
MCS</t>
  </si>
  <si>
    <t>2008
2020</t>
  </si>
  <si>
    <t>BPK
DZR</t>
  </si>
  <si>
    <t xml:space="preserve">Program udostepnienia lokali gminnych na Przedmieściu Oławskim we Wrocławiu      </t>
  </si>
  <si>
    <t xml:space="preserve">ZZK
Wice Prezyd.
BRD
</t>
  </si>
  <si>
    <t xml:space="preserve">Utworzenie wielofunkcyjnych miejsc aktywności społeczności lokalnej na Przedmieściu Oławskim we Wrocławiu  </t>
  </si>
  <si>
    <t xml:space="preserve">ZIM
BRD
</t>
  </si>
  <si>
    <t xml:space="preserve">Program zagospodarowania terenów nabrzeży rzeki Oławy we Wrocławiu  </t>
  </si>
  <si>
    <t xml:space="preserve"> Zagospodarowanie wnętrza podwórzowego w obrębie ulic: Kniaziewicza, Dąbrowskiego, Komuny Paryskiej, Pułaskiego oraz Świstackiego, Więckowskiego, Kościuszki, Brzeskiej we Wrocławiu</t>
  </si>
  <si>
    <t>Zagospodarowanie wnętrza podwórzowego w obrębie ulic: Łokietka, pl.Św.Macieja, Pobożnego, Niemcewicza, Jedności Narodowej, Drobnera we Wrocławiu</t>
  </si>
  <si>
    <t xml:space="preserve">Zagospodarowanie wnętrza podwórzowego w obrębie ulic: Pułaskiego, Kościuszki, Prądzyńskiego oraz Traugutta, Komuny Paryskiej, Prądzyńskiego we Wrocławiu </t>
  </si>
  <si>
    <t xml:space="preserve">DSS </t>
  </si>
  <si>
    <t>WicePrezydent</t>
  </si>
  <si>
    <t>ZDiUM 
DZR
Spółka WI
ZIM
ZZM
WIM
DZR</t>
  </si>
  <si>
    <t>WPP
ZSP nr 10,11,19,3
SP nr 3,8,20,85
WZF,CKP</t>
  </si>
  <si>
    <t>ZDIUM
Spółka WI
CUI</t>
  </si>
  <si>
    <t xml:space="preserve">BZP
ZZK
BWA
IMPART
Wrocławscy Kameraliści
OKP
SKW
</t>
  </si>
  <si>
    <t>MCUS
ZIM
WCI
WZF</t>
  </si>
  <si>
    <t>ZIM
ZSL
WGP
WPP
ZSL</t>
  </si>
  <si>
    <t xml:space="preserve">ZIM
Wice Prezyd.
BRD
</t>
  </si>
  <si>
    <t>Przebudowa ulic w ciągu drogi wojewódzkiej nr 342 (Obornicka, Pęgowska, Zajączkowska ,Pełczyńska)</t>
  </si>
  <si>
    <t>MCUS
ZIM
WZF</t>
  </si>
  <si>
    <t xml:space="preserve">Budowa i kompleksowa przebudowa szkół podstawowych </t>
  </si>
  <si>
    <t xml:space="preserve">Budowa i kompleksowa przebudowa przedszkoli </t>
  </si>
  <si>
    <t>Rewaloryzacja Bastionu Sakwowego -etap I</t>
  </si>
  <si>
    <t>2019
2021</t>
  </si>
  <si>
    <t>2019
2020</t>
  </si>
  <si>
    <t>MCUS</t>
  </si>
  <si>
    <t xml:space="preserve">Rewitalizacja linii kolejowej nr 292 na odcinku Jelcz Miłoszyce  - Wrocław Sołtysowice w celu przywrócenia przewozów pasażerskich we WrOF - zakres Gminy Wrocław </t>
  </si>
  <si>
    <t xml:space="preserve">ZZK
BRD
</t>
  </si>
  <si>
    <t>Mój drugi dom-zapewnienie wsparcia dla osób niesamodzielnych w dziennych domach pomocy we Wrocłaoiw</t>
  </si>
  <si>
    <t>ZIM
ZZK
DSS
WM</t>
  </si>
  <si>
    <t>Remont i przebudowa wraz z wyposażeniem czterech mieszkań o charakterze wspomaganym we Wrocławiu</t>
  </si>
  <si>
    <t>Remont i przebudowa wraz z wyposażeniem trzech mieszkań o charakterze wspomaganym we Wrocławiu</t>
  </si>
  <si>
    <t xml:space="preserve">Utworzenie dziennych domów pomocy przy ulicach Semaforowej 5 oraz Karmelkowej 25 we Wrocławiu </t>
  </si>
  <si>
    <t>ZZM
WCRS
CUI</t>
  </si>
  <si>
    <t>2007
2018</t>
  </si>
  <si>
    <t>2007
2022</t>
  </si>
  <si>
    <t>ZIM
BFS
ZDiUM
WI</t>
  </si>
  <si>
    <t>2006                    2020</t>
  </si>
  <si>
    <t xml:space="preserve">Budowa nowego cmentarza przy ul.Awicenny -prace przygotowawcze </t>
  </si>
  <si>
    <t>2013
2023</t>
  </si>
  <si>
    <t>2005
2022</t>
  </si>
  <si>
    <t xml:space="preserve">Program rewitalizacji komunalnego zasobu mieszkaniowego </t>
  </si>
  <si>
    <t>Budowa i kompleksowa przebudowa szkół ponadpodstawowe</t>
  </si>
  <si>
    <t>Nakłady inwestycyjne  [ w tys. zł ]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</si>
  <si>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</si>
  <si>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</si>
  <si>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</si>
  <si>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</si>
  <si>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</si>
  <si>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</si>
  <si>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</si>
  <si>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</si>
  <si>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</si>
  <si>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</si>
  <si>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</si>
  <si>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</si>
  <si>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BZP
ZZK
ZIM
Wice Prezydent</t>
  </si>
  <si>
    <t>ZIM
WFI</t>
  </si>
  <si>
    <t xml:space="preserve">Utworzenie Dziennego Domu Pomocy i Klubu Integracji Społecznej przy ul.Skoczylasa 8 oraz rozbudowa Wrocławskiego Centrum Integracji przy ul.Strzegomska 49 we Wrocławiu </t>
  </si>
</sst>
</file>

<file path=xl/styles.xml><?xml version="1.0" encoding="utf-8"?>
<styleSheet xmlns="http://schemas.openxmlformats.org/spreadsheetml/2006/main">
  <numFmts count="1">
    <numFmt numFmtId="164" formatCode="#,##0.000"/>
  </numFmts>
  <fonts count="29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sz val="10"/>
      <name val="Arial"/>
      <family val="2"/>
      <charset val="238"/>
    </font>
    <font>
      <b/>
      <sz val="12"/>
      <name val="Arial CE"/>
    </font>
    <font>
      <b/>
      <sz val="8"/>
      <name val="Arial CE"/>
    </font>
    <font>
      <b/>
      <sz val="9"/>
      <name val="Arial CE"/>
    </font>
    <font>
      <b/>
      <i/>
      <sz val="8"/>
      <name val="Arial CE"/>
    </font>
    <font>
      <b/>
      <sz val="10"/>
      <name val="Arial CE"/>
    </font>
    <font>
      <sz val="8"/>
      <name val="Arial"/>
      <family val="2"/>
      <charset val="238"/>
    </font>
    <font>
      <sz val="11"/>
      <name val="Czcionka tekstu podstawowego"/>
      <family val="2"/>
      <charset val="238"/>
    </font>
    <font>
      <sz val="7"/>
      <name val="Arial CE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 CE"/>
    </font>
    <font>
      <b/>
      <sz val="8"/>
      <color theme="1"/>
      <name val="Arial CE"/>
    </font>
    <font>
      <sz val="10"/>
      <color theme="1"/>
      <name val="Arial CE"/>
    </font>
    <font>
      <b/>
      <i/>
      <sz val="8"/>
      <color theme="1"/>
      <name val="Arial CE"/>
    </font>
    <font>
      <sz val="11"/>
      <color indexed="8"/>
      <name val="Czcionka tekstu podstawowego"/>
      <family val="2"/>
      <charset val="238"/>
    </font>
    <font>
      <sz val="8"/>
      <color rgb="FFFF0000"/>
      <name val="Arial CE"/>
    </font>
    <font>
      <sz val="8"/>
      <color theme="0"/>
      <name val="Arial CE"/>
    </font>
    <font>
      <b/>
      <sz val="8"/>
      <color theme="1"/>
      <name val="Arial CE"/>
      <charset val="238"/>
    </font>
    <font>
      <strike/>
      <sz val="8"/>
      <color theme="1"/>
      <name val="Arial CE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9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/>
    <xf numFmtId="0" fontId="2" fillId="10" borderId="0" xfId="0" applyFont="1" applyFill="1"/>
    <xf numFmtId="3" fontId="3" fillId="10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3" fontId="6" fillId="6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0" fontId="3" fillId="0" borderId="3" xfId="0" applyFont="1" applyBorder="1"/>
    <xf numFmtId="3" fontId="3" fillId="0" borderId="3" xfId="0" applyNumberFormat="1" applyFont="1" applyBorder="1"/>
    <xf numFmtId="0" fontId="3" fillId="9" borderId="3" xfId="0" applyFont="1" applyFill="1" applyBorder="1"/>
    <xf numFmtId="0" fontId="6" fillId="9" borderId="3" xfId="0" applyFont="1" applyFill="1" applyBorder="1"/>
    <xf numFmtId="3" fontId="3" fillId="9" borderId="3" xfId="0" applyNumberFormat="1" applyFont="1" applyFill="1" applyBorder="1"/>
    <xf numFmtId="0" fontId="3" fillId="2" borderId="3" xfId="0" applyFont="1" applyFill="1" applyBorder="1"/>
    <xf numFmtId="164" fontId="6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/>
    <xf numFmtId="0" fontId="8" fillId="10" borderId="4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10" borderId="0" xfId="0" applyFont="1" applyFill="1"/>
    <xf numFmtId="164" fontId="6" fillId="3" borderId="3" xfId="0" applyNumberFormat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vertical="center" wrapText="1"/>
    </xf>
    <xf numFmtId="3" fontId="3" fillId="5" borderId="3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164" fontId="6" fillId="4" borderId="3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vertical="center"/>
    </xf>
    <xf numFmtId="3" fontId="3" fillId="5" borderId="3" xfId="0" applyNumberFormat="1" applyFont="1" applyFill="1" applyBorder="1"/>
    <xf numFmtId="1" fontId="6" fillId="4" borderId="3" xfId="0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3" xfId="0" applyNumberFormat="1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164" fontId="8" fillId="8" borderId="4" xfId="0" applyNumberFormat="1" applyFont="1" applyFill="1" applyBorder="1" applyAlignment="1">
      <alignment horizontal="left" vertical="center"/>
    </xf>
    <xf numFmtId="0" fontId="13" fillId="3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/>
    <xf numFmtId="3" fontId="3" fillId="3" borderId="3" xfId="0" applyNumberFormat="1" applyFont="1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vertical="center" wrapText="1"/>
    </xf>
    <xf numFmtId="3" fontId="13" fillId="3" borderId="3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Fill="1"/>
    <xf numFmtId="9" fontId="3" fillId="0" borderId="11" xfId="0" applyNumberFormat="1" applyFont="1" applyFill="1" applyBorder="1"/>
    <xf numFmtId="3" fontId="15" fillId="0" borderId="3" xfId="0" applyNumberFormat="1" applyFont="1" applyFill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3" fontId="16" fillId="4" borderId="3" xfId="0" applyNumberFormat="1" applyFont="1" applyFill="1" applyBorder="1" applyAlignment="1">
      <alignment vertical="center"/>
    </xf>
    <xf numFmtId="3" fontId="16" fillId="3" borderId="3" xfId="0" applyNumberFormat="1" applyFont="1" applyFill="1" applyBorder="1" applyAlignment="1">
      <alignment vertical="center"/>
    </xf>
    <xf numFmtId="3" fontId="15" fillId="5" borderId="3" xfId="0" applyNumberFormat="1" applyFont="1" applyFill="1" applyBorder="1" applyAlignment="1">
      <alignment vertical="center"/>
    </xf>
    <xf numFmtId="3" fontId="15" fillId="0" borderId="3" xfId="0" applyNumberFormat="1" applyFont="1" applyBorder="1"/>
    <xf numFmtId="3" fontId="15" fillId="5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3" xfId="0" applyNumberFormat="1" applyFont="1" applyFill="1" applyBorder="1" applyAlignment="1"/>
    <xf numFmtId="0" fontId="17" fillId="2" borderId="0" xfId="0" applyFont="1" applyFill="1"/>
    <xf numFmtId="3" fontId="15" fillId="0" borderId="3" xfId="0" applyNumberFormat="1" applyFont="1" applyFill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6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/>
    <xf numFmtId="3" fontId="15" fillId="3" borderId="3" xfId="0" applyNumberFormat="1" applyFont="1" applyFill="1" applyBorder="1" applyAlignment="1">
      <alignment vertical="center"/>
    </xf>
    <xf numFmtId="164" fontId="18" fillId="2" borderId="5" xfId="0" applyNumberFormat="1" applyFont="1" applyFill="1" applyBorder="1" applyAlignment="1">
      <alignment horizontal="left" vertical="center" wrapText="1"/>
    </xf>
    <xf numFmtId="164" fontId="18" fillId="2" borderId="5" xfId="0" applyNumberFormat="1" applyFont="1" applyFill="1" applyBorder="1" applyAlignment="1">
      <alignment horizontal="left" vertical="center"/>
    </xf>
    <xf numFmtId="164" fontId="18" fillId="2" borderId="5" xfId="0" applyNumberFormat="1" applyFont="1" applyFill="1" applyBorder="1" applyAlignment="1">
      <alignment vertical="center" wrapText="1"/>
    </xf>
    <xf numFmtId="3" fontId="10" fillId="0" borderId="3" xfId="10" applyNumberFormat="1" applyFont="1" applyFill="1" applyBorder="1" applyAlignment="1" applyProtection="1">
      <alignment horizontal="right" vertical="center" wrapText="1"/>
    </xf>
    <xf numFmtId="0" fontId="2" fillId="2" borderId="3" xfId="0" applyFont="1" applyFill="1" applyBorder="1"/>
    <xf numFmtId="0" fontId="17" fillId="2" borderId="3" xfId="0" applyFont="1" applyFill="1" applyBorder="1"/>
    <xf numFmtId="3" fontId="20" fillId="0" borderId="3" xfId="0" applyNumberFormat="1" applyFont="1" applyBorder="1" applyAlignment="1">
      <alignment vertical="center"/>
    </xf>
    <xf numFmtId="164" fontId="15" fillId="0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14" fillId="0" borderId="3" xfId="10" applyNumberFormat="1" applyFont="1" applyFill="1" applyBorder="1" applyAlignment="1" applyProtection="1">
      <alignment horizontal="right" vertical="center" wrapText="1"/>
    </xf>
    <xf numFmtId="164" fontId="23" fillId="5" borderId="3" xfId="0" applyNumberFormat="1" applyFont="1" applyFill="1" applyBorder="1" applyAlignment="1">
      <alignment vertical="center" wrapText="1"/>
    </xf>
    <xf numFmtId="3" fontId="21" fillId="0" borderId="3" xfId="0" applyNumberFormat="1" applyFont="1" applyFill="1" applyBorder="1" applyAlignment="1">
      <alignment vertical="center"/>
    </xf>
    <xf numFmtId="164" fontId="22" fillId="3" borderId="3" xfId="0" applyNumberFormat="1" applyFont="1" applyFill="1" applyBorder="1" applyAlignment="1">
      <alignment horizontal="left" vertical="center" wrapText="1"/>
    </xf>
    <xf numFmtId="164" fontId="15" fillId="5" borderId="3" xfId="0" applyNumberFormat="1" applyFont="1" applyFill="1" applyBorder="1" applyAlignment="1">
      <alignment vertical="center" wrapText="1"/>
    </xf>
    <xf numFmtId="164" fontId="16" fillId="3" borderId="3" xfId="0" applyNumberFormat="1" applyFont="1" applyFill="1" applyBorder="1" applyAlignment="1">
      <alignment vertical="center" wrapText="1"/>
    </xf>
    <xf numFmtId="164" fontId="16" fillId="3" borderId="3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0" fillId="0" borderId="0" xfId="0" applyNumberFormat="1" applyFont="1" applyFill="1" applyBorder="1"/>
    <xf numFmtId="0" fontId="26" fillId="0" borderId="0" xfId="0" applyFont="1" applyFill="1" applyBorder="1"/>
    <xf numFmtId="0" fontId="25" fillId="0" borderId="0" xfId="0" applyFont="1" applyFill="1" applyBorder="1"/>
    <xf numFmtId="4" fontId="26" fillId="0" borderId="0" xfId="0" applyNumberFormat="1" applyFont="1" applyFill="1" applyBorder="1"/>
    <xf numFmtId="0" fontId="27" fillId="0" borderId="0" xfId="0" applyFont="1" applyFill="1" applyBorder="1"/>
    <xf numFmtId="4" fontId="25" fillId="0" borderId="0" xfId="0" applyNumberFormat="1" applyFont="1" applyFill="1" applyBorder="1"/>
    <xf numFmtId="0" fontId="28" fillId="0" borderId="0" xfId="0" applyFont="1" applyFill="1" applyBorder="1"/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164" fontId="8" fillId="2" borderId="4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/>
    <xf numFmtId="3" fontId="26" fillId="0" borderId="0" xfId="0" applyNumberFormat="1" applyFont="1" applyFill="1" applyBorder="1"/>
    <xf numFmtId="0" fontId="10" fillId="0" borderId="0" xfId="0" applyFont="1" applyFill="1" applyBorder="1"/>
    <xf numFmtId="0" fontId="24" fillId="0" borderId="0" xfId="0" applyFont="1" applyFill="1" applyBorder="1"/>
    <xf numFmtId="3" fontId="28" fillId="0" borderId="0" xfId="0" applyNumberFormat="1" applyFont="1" applyFill="1" applyBorder="1"/>
    <xf numFmtId="0" fontId="9" fillId="0" borderId="0" xfId="0" applyFont="1" applyFill="1" applyBorder="1"/>
    <xf numFmtId="3" fontId="25" fillId="0" borderId="0" xfId="0" applyNumberFormat="1" applyFont="1" applyFill="1" applyBorder="1"/>
  </cellXfs>
  <cellStyles count="11">
    <cellStyle name="Normalny" xfId="0" builtinId="0"/>
    <cellStyle name="Normalny 2" xfId="2"/>
    <cellStyle name="Normalny 2 10" xfId="9"/>
    <cellStyle name="Normalny 3" xfId="3"/>
    <cellStyle name="Normalny 4" xfId="4"/>
    <cellStyle name="Normalny 5" xfId="5"/>
    <cellStyle name="Normalny 6" xfId="6"/>
    <cellStyle name="Normalny 7" xfId="7"/>
    <cellStyle name="Normalny 8" xfId="8"/>
    <cellStyle name="Normalny 9" xfId="1"/>
    <cellStyle name="Normalny_5.WPF_URM.XIII.237.11_7.07+autopop" xfId="10"/>
  </cellStyles>
  <dxfs count="0"/>
  <tableStyles count="0" defaultTableStyle="TableStyleMedium9" defaultPivotStyle="PivotStyleLight16"/>
  <colors>
    <mruColors>
      <color rgb="FFFFCCFF"/>
      <color rgb="FFFFFF99"/>
      <color rgb="FF372DFB"/>
      <color rgb="FFFFFF66"/>
      <color rgb="FFCCFFFF"/>
      <color rgb="FF3399FF"/>
      <color rgb="FFCC66FF"/>
      <color rgb="FFCC00CC"/>
      <color rgb="FFCCFFCC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1-11-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2-02-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mkahr01\Desktop\WPI%20%2011-12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</sheetNames>
    <sheetDataSet>
      <sheetData sheetId="0">
        <row r="2">
          <cell r="I2" t="str">
            <v>Brak realizacji</v>
          </cell>
          <cell r="L2" t="str">
            <v>V.1.2</v>
          </cell>
          <cell r="M2" t="str">
            <v>O</v>
          </cell>
        </row>
        <row r="3">
          <cell r="I3" t="str">
            <v>Brak uchwały WM</v>
          </cell>
          <cell r="L3" t="str">
            <v>V.1.6</v>
          </cell>
          <cell r="M3" t="str">
            <v>P</v>
          </cell>
        </row>
        <row r="4">
          <cell r="I4" t="str">
            <v>Na 2009 rok</v>
          </cell>
          <cell r="L4" t="str">
            <v>V.2.3</v>
          </cell>
          <cell r="M4" t="str">
            <v>PR</v>
          </cell>
        </row>
        <row r="5">
          <cell r="I5" t="str">
            <v>Przetarg</v>
          </cell>
          <cell r="L5" t="str">
            <v>V.R.1.4</v>
          </cell>
          <cell r="M5" t="str">
            <v>R</v>
          </cell>
        </row>
        <row r="6">
          <cell r="I6" t="str">
            <v>Rezygnacja WM</v>
          </cell>
          <cell r="L6" t="str">
            <v>V.R.15</v>
          </cell>
        </row>
        <row r="7">
          <cell r="I7" t="str">
            <v>W trakcie realizacji</v>
          </cell>
          <cell r="L7" t="str">
            <v>V.R.4.13</v>
          </cell>
        </row>
        <row r="8">
          <cell r="I8" t="str">
            <v>Wycofane</v>
          </cell>
          <cell r="L8" t="str">
            <v>V.R.4.14</v>
          </cell>
        </row>
        <row r="9">
          <cell r="I9" t="str">
            <v>Zadanie wykonane i rozliczone</v>
          </cell>
          <cell r="L9" t="str">
            <v>V.R.4.15</v>
          </cell>
        </row>
        <row r="10">
          <cell r="I10" t="str">
            <v>Zadanie wykonane i w trakcie rozliczenia</v>
          </cell>
          <cell r="L10" t="str">
            <v>V.R.4.3</v>
          </cell>
        </row>
        <row r="11">
          <cell r="I11" t="str">
            <v>Zaliczka na poczet robót WM</v>
          </cell>
          <cell r="L11" t="str">
            <v>V.R.4.9</v>
          </cell>
        </row>
        <row r="12">
          <cell r="I12" t="str">
            <v>Zwrot nadpłaty</v>
          </cell>
          <cell r="L12" t="str">
            <v>V.R.4.12</v>
          </cell>
        </row>
        <row r="13">
          <cell r="I13" t="str">
            <v>Rezerwowe zadanie</v>
          </cell>
          <cell r="L13" t="str">
            <v>V.R.6.1</v>
          </cell>
        </row>
        <row r="14">
          <cell r="L14" t="str">
            <v>V.R.6.2</v>
          </cell>
        </row>
        <row r="15">
          <cell r="L15" t="str">
            <v>V.R.7</v>
          </cell>
        </row>
        <row r="16">
          <cell r="L16" t="str">
            <v>V.R.8</v>
          </cell>
        </row>
        <row r="17">
          <cell r="L17" t="str">
            <v>VII.4</v>
          </cell>
        </row>
        <row r="18">
          <cell r="L18" t="str">
            <v>V.R.4.11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  <sheetName val="Fundusz remontowy"/>
      <sheetName val="Przetarg"/>
    </sheetNames>
    <sheetDataSet>
      <sheetData sheetId="0">
        <row r="2">
          <cell r="H2" t="str">
            <v>1 Dywizji</v>
          </cell>
        </row>
        <row r="3">
          <cell r="H3" t="str">
            <v>1 Dywizji\Partyzantów</v>
          </cell>
        </row>
        <row r="4">
          <cell r="H4" t="str">
            <v>3-go Maja</v>
          </cell>
        </row>
        <row r="5">
          <cell r="H5" t="str">
            <v>9-go Maja</v>
          </cell>
        </row>
        <row r="6">
          <cell r="H6" t="str">
            <v>Abramowskiego</v>
          </cell>
        </row>
        <row r="7">
          <cell r="H7" t="str">
            <v>Adamczewskich</v>
          </cell>
        </row>
        <row r="8">
          <cell r="H8" t="str">
            <v>Afgańska</v>
          </cell>
        </row>
        <row r="9">
          <cell r="H9" t="str">
            <v>Aliancka</v>
          </cell>
        </row>
        <row r="10">
          <cell r="H10" t="str">
            <v>Altanowa</v>
          </cell>
        </row>
        <row r="11">
          <cell r="H11" t="str">
            <v>Angielska</v>
          </cell>
        </row>
        <row r="12">
          <cell r="H12" t="str">
            <v>Antoniego Św.</v>
          </cell>
        </row>
        <row r="13">
          <cell r="H13" t="str">
            <v>Asnyka</v>
          </cell>
        </row>
        <row r="14">
          <cell r="H14" t="str">
            <v>Bałtycka</v>
          </cell>
        </row>
        <row r="15">
          <cell r="H15" t="str">
            <v>Bałuckiego</v>
          </cell>
        </row>
        <row r="16">
          <cell r="H16" t="str">
            <v>Barlickiego</v>
          </cell>
        </row>
        <row r="17">
          <cell r="H17" t="str">
            <v>Bartla</v>
          </cell>
        </row>
        <row r="18">
          <cell r="H18" t="str">
            <v>Barycka</v>
          </cell>
        </row>
        <row r="19">
          <cell r="H19" t="str">
            <v>Baudouina de Courtenay</v>
          </cell>
        </row>
        <row r="20">
          <cell r="H20" t="str">
            <v>Becka</v>
          </cell>
        </row>
        <row r="21">
          <cell r="H21" t="str">
            <v>Bednarska</v>
          </cell>
        </row>
        <row r="22">
          <cell r="H22" t="str">
            <v>Belwederczyków</v>
          </cell>
        </row>
        <row r="23">
          <cell r="H23" t="str">
            <v>Belwederczyków-Jezierskiego</v>
          </cell>
        </row>
        <row r="24">
          <cell r="H24" t="str">
            <v>Bema</v>
          </cell>
        </row>
        <row r="25">
          <cell r="H25" t="str">
            <v>Bema Pl.</v>
          </cell>
        </row>
        <row r="26">
          <cell r="H26" t="str">
            <v>Benedyktyńska</v>
          </cell>
        </row>
        <row r="27">
          <cell r="H27" t="str">
            <v>Berenta</v>
          </cell>
        </row>
        <row r="28">
          <cell r="H28" t="str">
            <v>Berlinga</v>
          </cell>
        </row>
        <row r="29">
          <cell r="H29" t="str">
            <v>Bernardyńska</v>
          </cell>
        </row>
        <row r="30">
          <cell r="H30" t="str">
            <v>Białoskórnicza</v>
          </cell>
        </row>
        <row r="31">
          <cell r="H31" t="str">
            <v>Białostocka</v>
          </cell>
        </row>
        <row r="32">
          <cell r="H32" t="str">
            <v>Białowieska</v>
          </cell>
        </row>
        <row r="33">
          <cell r="H33" t="str">
            <v>Bierutowska</v>
          </cell>
        </row>
        <row r="34">
          <cell r="H34" t="str">
            <v>Birmańska</v>
          </cell>
        </row>
        <row r="35">
          <cell r="H35" t="str">
            <v>Birmańska\Chińska</v>
          </cell>
        </row>
        <row r="36">
          <cell r="H36" t="str">
            <v>Birmańska\Pakistańska</v>
          </cell>
        </row>
        <row r="37">
          <cell r="H37" t="str">
            <v>Biskupia</v>
          </cell>
        </row>
        <row r="38">
          <cell r="H38" t="str">
            <v>Blacharska</v>
          </cell>
        </row>
        <row r="39">
          <cell r="H39" t="str">
            <v>Bociania</v>
          </cell>
        </row>
        <row r="40">
          <cell r="H40" t="str">
            <v>Boczna</v>
          </cell>
        </row>
        <row r="41">
          <cell r="H41" t="str">
            <v>Bogusławskiego</v>
          </cell>
        </row>
        <row r="42">
          <cell r="H42" t="str">
            <v>Boiskowa</v>
          </cell>
        </row>
        <row r="43">
          <cell r="H43" t="str">
            <v>Bolesławiecka</v>
          </cell>
        </row>
        <row r="44">
          <cell r="H44" t="str">
            <v>Bora Komorowskiego</v>
          </cell>
        </row>
        <row r="45">
          <cell r="H45" t="str">
            <v>Borelowskiego</v>
          </cell>
        </row>
        <row r="46">
          <cell r="H46" t="str">
            <v>Borowska</v>
          </cell>
        </row>
        <row r="47">
          <cell r="H47" t="str">
            <v>Boya Żeleńskiego Al.</v>
          </cell>
        </row>
        <row r="48">
          <cell r="H48" t="str">
            <v>Bożego Ciała</v>
          </cell>
        </row>
        <row r="49">
          <cell r="H49" t="str">
            <v>Brandta</v>
          </cell>
        </row>
        <row r="50">
          <cell r="H50" t="str">
            <v>Braniborska</v>
          </cell>
        </row>
        <row r="51">
          <cell r="H51" t="str">
            <v>Brązowa</v>
          </cell>
        </row>
        <row r="52">
          <cell r="H52" t="str">
            <v>Brodatego</v>
          </cell>
        </row>
        <row r="53">
          <cell r="H53" t="str">
            <v>Brodatego\Pomorska</v>
          </cell>
        </row>
        <row r="54">
          <cell r="H54" t="str">
            <v>Brodzka</v>
          </cell>
        </row>
        <row r="55">
          <cell r="H55" t="str">
            <v>Brzeska</v>
          </cell>
        </row>
        <row r="56">
          <cell r="H56" t="str">
            <v>Brzezińska</v>
          </cell>
        </row>
        <row r="57">
          <cell r="H57" t="str">
            <v>Budziszyńska</v>
          </cell>
        </row>
        <row r="58">
          <cell r="H58" t="str">
            <v>Bujwida</v>
          </cell>
        </row>
        <row r="59">
          <cell r="H59" t="str">
            <v>Bukowskiego</v>
          </cell>
        </row>
        <row r="60">
          <cell r="H60" t="str">
            <v>Buraczana</v>
          </cell>
        </row>
        <row r="61">
          <cell r="H61" t="str">
            <v>Buska</v>
          </cell>
        </row>
        <row r="62">
          <cell r="H62" t="str">
            <v>Bydgoska</v>
          </cell>
        </row>
        <row r="63">
          <cell r="H63" t="str">
            <v>Bytomska</v>
          </cell>
        </row>
        <row r="64">
          <cell r="H64" t="str">
            <v>Ceglana</v>
          </cell>
        </row>
        <row r="65">
          <cell r="H65" t="str">
            <v>Centralna</v>
          </cell>
        </row>
        <row r="66">
          <cell r="H66" t="str">
            <v>Chełmońskiego</v>
          </cell>
        </row>
        <row r="67">
          <cell r="H67" t="str">
            <v>Chemiczna</v>
          </cell>
        </row>
        <row r="68">
          <cell r="H68" t="str">
            <v>Chińska</v>
          </cell>
        </row>
        <row r="69">
          <cell r="H69" t="str">
            <v>Chińska\Birmańska</v>
          </cell>
        </row>
        <row r="70">
          <cell r="H70" t="str">
            <v>Chłopska</v>
          </cell>
        </row>
        <row r="71">
          <cell r="H71" t="str">
            <v>Chopina</v>
          </cell>
        </row>
        <row r="72">
          <cell r="H72" t="str">
            <v>Chrobrego</v>
          </cell>
        </row>
        <row r="73">
          <cell r="H73" t="str">
            <v>Chrzanowskiego</v>
          </cell>
        </row>
        <row r="74">
          <cell r="H74" t="str">
            <v>Chudoby</v>
          </cell>
        </row>
        <row r="75">
          <cell r="H75" t="str">
            <v>Chwałkowska</v>
          </cell>
        </row>
        <row r="76">
          <cell r="H76" t="str">
            <v>Ciepła</v>
          </cell>
        </row>
        <row r="77">
          <cell r="H77" t="str">
            <v>Ciesielski Pl.</v>
          </cell>
        </row>
        <row r="78">
          <cell r="H78" t="str">
            <v>Cieszyńskiego</v>
          </cell>
        </row>
        <row r="79">
          <cell r="H79" t="str">
            <v>Cinciały</v>
          </cell>
        </row>
        <row r="80">
          <cell r="H80" t="str">
            <v>Cukrowa</v>
          </cell>
        </row>
        <row r="81">
          <cell r="H81" t="str">
            <v>Cybulskiego</v>
          </cell>
        </row>
        <row r="82">
          <cell r="H82" t="str">
            <v>Cynowa</v>
          </cell>
        </row>
        <row r="83">
          <cell r="H83" t="str">
            <v>Czajkowskiego</v>
          </cell>
        </row>
        <row r="84">
          <cell r="H84" t="str">
            <v>Czarnieckiego</v>
          </cell>
        </row>
        <row r="85">
          <cell r="H85" t="str">
            <v>Czarnoleska</v>
          </cell>
        </row>
        <row r="86">
          <cell r="H86" t="str">
            <v>Czekoladowa</v>
          </cell>
        </row>
        <row r="87">
          <cell r="H87" t="str">
            <v>Częstochowska</v>
          </cell>
        </row>
        <row r="88">
          <cell r="H88" t="str">
            <v>Czysta</v>
          </cell>
        </row>
        <row r="89">
          <cell r="H89" t="str">
            <v>Ćwiczebna</v>
          </cell>
        </row>
        <row r="90">
          <cell r="H90" t="str">
            <v>Damrota</v>
          </cell>
        </row>
        <row r="91">
          <cell r="H91" t="str">
            <v>Daniłowskiego</v>
          </cell>
        </row>
        <row r="92">
          <cell r="H92" t="str">
            <v>Daszyńskiego</v>
          </cell>
        </row>
        <row r="93">
          <cell r="H93" t="str">
            <v>Dawida\Gajowa</v>
          </cell>
        </row>
        <row r="94">
          <cell r="H94" t="str">
            <v>Dąbrowskiego</v>
          </cell>
        </row>
        <row r="95">
          <cell r="H95" t="str">
            <v>Dembowskiego</v>
          </cell>
        </row>
        <row r="96">
          <cell r="H96" t="str">
            <v>Desantowa</v>
          </cell>
        </row>
        <row r="97">
          <cell r="H97" t="str">
            <v>Dębickiego</v>
          </cell>
        </row>
        <row r="98">
          <cell r="H98" t="str">
            <v>Dicksteina</v>
          </cell>
        </row>
        <row r="99">
          <cell r="H99" t="str">
            <v>Długa</v>
          </cell>
        </row>
        <row r="100">
          <cell r="H100" t="str">
            <v>Długopolska\Strońska</v>
          </cell>
        </row>
        <row r="101">
          <cell r="H101" t="str">
            <v>Długosza</v>
          </cell>
        </row>
        <row r="102">
          <cell r="H102" t="str">
            <v>Dobra</v>
          </cell>
        </row>
        <row r="103">
          <cell r="H103" t="str">
            <v>Dobrzańska</v>
          </cell>
        </row>
        <row r="104">
          <cell r="H104" t="str">
            <v>Dolna</v>
          </cell>
        </row>
        <row r="105">
          <cell r="H105" t="str">
            <v>Dolnobrzeska</v>
          </cell>
        </row>
        <row r="106">
          <cell r="H106" t="str">
            <v>Domasławska</v>
          </cell>
        </row>
        <row r="107">
          <cell r="H107" t="str">
            <v>Dożynkowa</v>
          </cell>
        </row>
        <row r="108">
          <cell r="H108" t="str">
            <v>Drobnera</v>
          </cell>
        </row>
        <row r="109">
          <cell r="H109" t="str">
            <v>Druckiego-Lubeckiego</v>
          </cell>
        </row>
        <row r="110">
          <cell r="H110" t="str">
            <v>Drukarska</v>
          </cell>
        </row>
        <row r="111">
          <cell r="H111" t="str">
            <v>Drzewna</v>
          </cell>
        </row>
        <row r="112">
          <cell r="H112" t="str">
            <v>Dubois</v>
          </cell>
        </row>
        <row r="113">
          <cell r="H113" t="str">
            <v>Dworcowa</v>
          </cell>
        </row>
        <row r="114">
          <cell r="H114" t="str">
            <v>Działdowska</v>
          </cell>
        </row>
        <row r="115">
          <cell r="H115" t="str">
            <v>Eluarda</v>
          </cell>
        </row>
        <row r="116">
          <cell r="H116" t="str">
            <v>Elżbiety Św.</v>
          </cell>
        </row>
        <row r="117">
          <cell r="H117" t="str">
            <v>Ełcka</v>
          </cell>
        </row>
        <row r="118">
          <cell r="H118" t="str">
            <v>Energetyczna</v>
          </cell>
        </row>
        <row r="119">
          <cell r="H119" t="str">
            <v>Energetyczna\Pretficza</v>
          </cell>
        </row>
        <row r="120">
          <cell r="H120" t="str">
            <v>Fabryczna</v>
          </cell>
        </row>
        <row r="121">
          <cell r="H121" t="str">
            <v>Fiołkowa</v>
          </cell>
        </row>
        <row r="122">
          <cell r="H122" t="str">
            <v>Gajowa</v>
          </cell>
        </row>
        <row r="123">
          <cell r="H123" t="str">
            <v>Gajowicka</v>
          </cell>
        </row>
        <row r="124">
          <cell r="H124" t="str">
            <v>Galla Anonima</v>
          </cell>
        </row>
        <row r="125">
          <cell r="H125" t="str">
            <v>Gałczyńskiego</v>
          </cell>
        </row>
        <row r="126">
          <cell r="H126" t="str">
            <v>Garwolińska</v>
          </cell>
        </row>
        <row r="127">
          <cell r="H127" t="str">
            <v>Gazowa</v>
          </cell>
        </row>
        <row r="128">
          <cell r="H128" t="str">
            <v>Gdańska</v>
          </cell>
        </row>
        <row r="129">
          <cell r="H129" t="str">
            <v>Gepperta</v>
          </cell>
        </row>
        <row r="130">
          <cell r="H130" t="str">
            <v>Gimnazjalna</v>
          </cell>
        </row>
        <row r="131">
          <cell r="H131" t="str">
            <v>Gliniana</v>
          </cell>
        </row>
        <row r="132">
          <cell r="H132" t="str">
            <v>Gliwicka-Górnośląska</v>
          </cell>
        </row>
        <row r="133">
          <cell r="H133" t="str">
            <v>Głogowska</v>
          </cell>
        </row>
        <row r="134">
          <cell r="H134" t="str">
            <v>Głowackiego</v>
          </cell>
        </row>
        <row r="135">
          <cell r="H135" t="str">
            <v>Główna</v>
          </cell>
        </row>
        <row r="136">
          <cell r="H136" t="str">
            <v>Gnieźnieńska</v>
          </cell>
        </row>
        <row r="137">
          <cell r="H137" t="str">
            <v>Godebskiego</v>
          </cell>
        </row>
        <row r="138">
          <cell r="H138" t="str">
            <v>Gołężycka</v>
          </cell>
        </row>
        <row r="139">
          <cell r="H139" t="str">
            <v>Gorlicka</v>
          </cell>
        </row>
        <row r="140">
          <cell r="H140" t="str">
            <v>Gosławicka (d.Cmentarna)</v>
          </cell>
        </row>
        <row r="141">
          <cell r="H141" t="str">
            <v>Goszczyńskiego</v>
          </cell>
        </row>
        <row r="142">
          <cell r="H142" t="str">
            <v>Góralska</v>
          </cell>
        </row>
        <row r="143">
          <cell r="H143" t="str">
            <v>Górecka</v>
          </cell>
        </row>
        <row r="144">
          <cell r="H144" t="str">
            <v>Górnickiego</v>
          </cell>
        </row>
        <row r="145">
          <cell r="H145" t="str">
            <v>Górnicza</v>
          </cell>
        </row>
        <row r="146">
          <cell r="H146" t="str">
            <v>Górnośląska</v>
          </cell>
        </row>
        <row r="147">
          <cell r="H147" t="str">
            <v>Grabiszyńska</v>
          </cell>
        </row>
        <row r="148">
          <cell r="H148" t="str">
            <v>Grecka</v>
          </cell>
        </row>
        <row r="149">
          <cell r="H149" t="str">
            <v>Grochowa</v>
          </cell>
        </row>
        <row r="150">
          <cell r="H150" t="str">
            <v>Grodzka</v>
          </cell>
        </row>
        <row r="151">
          <cell r="H151" t="str">
            <v>Gromadzka</v>
          </cell>
        </row>
        <row r="152">
          <cell r="H152" t="str">
            <v>Grota Roweckiego</v>
          </cell>
        </row>
        <row r="153">
          <cell r="H153" t="str">
            <v>Grudziądzka</v>
          </cell>
        </row>
        <row r="154">
          <cell r="H154" t="str">
            <v>Grunwaldzka</v>
          </cell>
        </row>
        <row r="155">
          <cell r="H155" t="str">
            <v>Grunwaldzka\Sienkiewicza</v>
          </cell>
        </row>
        <row r="156">
          <cell r="H156" t="str">
            <v>Gwarecka</v>
          </cell>
        </row>
        <row r="157">
          <cell r="H157" t="str">
            <v>Gwarna</v>
          </cell>
        </row>
        <row r="158">
          <cell r="H158" t="str">
            <v>Hallera</v>
          </cell>
        </row>
        <row r="159">
          <cell r="H159" t="str">
            <v>Hauke-Bosaka</v>
          </cell>
        </row>
        <row r="160">
          <cell r="H160" t="str">
            <v>Hauke-Bosaka , Krasińskiego</v>
          </cell>
        </row>
        <row r="161">
          <cell r="H161" t="str">
            <v>Henrykowska</v>
          </cell>
        </row>
        <row r="162">
          <cell r="H162" t="str">
            <v>Hercena</v>
          </cell>
        </row>
        <row r="163">
          <cell r="H163" t="str">
            <v>Hermanowska</v>
          </cell>
        </row>
        <row r="164">
          <cell r="H164" t="str">
            <v>Hirszfelda Pl.</v>
          </cell>
        </row>
        <row r="165">
          <cell r="H165" t="str">
            <v>Hlonda</v>
          </cell>
        </row>
        <row r="166">
          <cell r="H166" t="str">
            <v>Hłaski</v>
          </cell>
        </row>
        <row r="167">
          <cell r="H167" t="str">
            <v>Holenderska</v>
          </cell>
        </row>
        <row r="168">
          <cell r="H168" t="str">
            <v>Hubska</v>
          </cell>
        </row>
        <row r="169">
          <cell r="H169" t="str">
            <v>Hutnicza</v>
          </cell>
        </row>
        <row r="170">
          <cell r="H170" t="str">
            <v>Igielna</v>
          </cell>
        </row>
        <row r="171">
          <cell r="H171" t="str">
            <v>Ignuta</v>
          </cell>
        </row>
        <row r="172">
          <cell r="H172" t="str">
            <v>Inowrocławska</v>
          </cell>
        </row>
        <row r="173">
          <cell r="H173" t="str">
            <v>Irysowa</v>
          </cell>
        </row>
        <row r="174">
          <cell r="H174" t="str">
            <v>Jadwigi Św.</v>
          </cell>
        </row>
        <row r="175">
          <cell r="H175" t="str">
            <v>Jagiellończyka</v>
          </cell>
        </row>
        <row r="176">
          <cell r="H176" t="str">
            <v>Jagiełły</v>
          </cell>
        </row>
        <row r="177">
          <cell r="H177" t="str">
            <v>Jagodzińska</v>
          </cell>
        </row>
        <row r="178">
          <cell r="H178" t="str">
            <v>Jajczarska</v>
          </cell>
        </row>
        <row r="179">
          <cell r="H179" t="str">
            <v>Jana Pawła II Pl.</v>
          </cell>
        </row>
        <row r="180">
          <cell r="H180" t="str">
            <v>Janiszewskiego</v>
          </cell>
        </row>
        <row r="181">
          <cell r="H181" t="str">
            <v>Jantarowa</v>
          </cell>
        </row>
        <row r="182">
          <cell r="H182" t="str">
            <v>Januszowicka</v>
          </cell>
        </row>
        <row r="183">
          <cell r="H183" t="str">
            <v>Jaracza</v>
          </cell>
        </row>
        <row r="184">
          <cell r="H184" t="str">
            <v>Jarocińska</v>
          </cell>
        </row>
        <row r="185">
          <cell r="H185" t="str">
            <v>Jarzębinowa Al.</v>
          </cell>
        </row>
        <row r="186">
          <cell r="H186" t="str">
            <v>Jastrzębia</v>
          </cell>
        </row>
        <row r="187">
          <cell r="H187" t="str">
            <v>Jaworowa Al.</v>
          </cell>
        </row>
        <row r="188">
          <cell r="H188" t="str">
            <v>Jedności Narodowej</v>
          </cell>
        </row>
        <row r="189">
          <cell r="H189" t="str">
            <v>Jedności Narodowej\Kilińskiego</v>
          </cell>
        </row>
        <row r="190">
          <cell r="H190" t="str">
            <v>Jedności Narodowej\Probusa</v>
          </cell>
        </row>
        <row r="191">
          <cell r="H191" t="str">
            <v>Jeleniogórska</v>
          </cell>
        </row>
        <row r="192">
          <cell r="H192" t="str">
            <v>Jemiołowa</v>
          </cell>
        </row>
        <row r="193">
          <cell r="H193" t="str">
            <v>Jerzego Św.</v>
          </cell>
        </row>
        <row r="194">
          <cell r="H194" t="str">
            <v>Jerzmanowska</v>
          </cell>
        </row>
        <row r="195">
          <cell r="H195" t="str">
            <v>Jesienna</v>
          </cell>
        </row>
        <row r="196">
          <cell r="H196" t="str">
            <v>Jesionowa</v>
          </cell>
        </row>
        <row r="197">
          <cell r="H197" t="str">
            <v>Jezierskiego</v>
          </cell>
        </row>
        <row r="198">
          <cell r="H198" t="str">
            <v>Jeździecka</v>
          </cell>
        </row>
        <row r="199">
          <cell r="H199" t="str">
            <v>Jeżowska</v>
          </cell>
        </row>
        <row r="200">
          <cell r="H200" t="str">
            <v>Jęczmienna</v>
          </cell>
        </row>
        <row r="201">
          <cell r="H201" t="str">
            <v>Jodłowa</v>
          </cell>
        </row>
        <row r="202">
          <cell r="H202" t="str">
            <v>Jordanowska</v>
          </cell>
        </row>
        <row r="203">
          <cell r="H203" t="str">
            <v>Jugosławiańska</v>
          </cell>
        </row>
        <row r="204">
          <cell r="H204" t="str">
            <v>Junacka</v>
          </cell>
        </row>
        <row r="205">
          <cell r="H205" t="str">
            <v>Juszczaka</v>
          </cell>
        </row>
        <row r="206">
          <cell r="H206" t="str">
            <v>Kaliski Pl</v>
          </cell>
        </row>
        <row r="207">
          <cell r="H207" t="str">
            <v>Kamieniecka</v>
          </cell>
        </row>
        <row r="208">
          <cell r="H208" t="str">
            <v>Kamienna</v>
          </cell>
        </row>
        <row r="209">
          <cell r="H209" t="str">
            <v>Kamienna\ Wapienna</v>
          </cell>
        </row>
        <row r="210">
          <cell r="H210" t="str">
            <v>Kamieńskiego</v>
          </cell>
        </row>
        <row r="211">
          <cell r="H211" t="str">
            <v>Kanadyjska</v>
          </cell>
        </row>
        <row r="212">
          <cell r="H212" t="str">
            <v>Kapliczna</v>
          </cell>
        </row>
        <row r="213">
          <cell r="H213" t="str">
            <v>Karczemna</v>
          </cell>
        </row>
        <row r="214">
          <cell r="H214" t="str">
            <v>Karmelkowa</v>
          </cell>
        </row>
        <row r="215">
          <cell r="H215" t="str">
            <v>Karpacka</v>
          </cell>
        </row>
        <row r="216">
          <cell r="H216" t="str">
            <v>Kasprowicza Al.</v>
          </cell>
        </row>
        <row r="217">
          <cell r="H217" t="str">
            <v>Kasprzaka</v>
          </cell>
        </row>
        <row r="218">
          <cell r="H218" t="str">
            <v>Kasztanowa Al.</v>
          </cell>
        </row>
        <row r="219">
          <cell r="H219" t="str">
            <v>Kasztelańska</v>
          </cell>
        </row>
        <row r="220">
          <cell r="H220" t="str">
            <v>Kaszubska</v>
          </cell>
        </row>
        <row r="221">
          <cell r="H221" t="str">
            <v>Kaszubska\Kurkowa</v>
          </cell>
        </row>
        <row r="222">
          <cell r="H222" t="str">
            <v>Katedralny Pl.</v>
          </cell>
        </row>
        <row r="223">
          <cell r="H223" t="str">
            <v>Kazimierza Wielkiego</v>
          </cell>
        </row>
        <row r="224">
          <cell r="H224" t="str">
            <v>Kazimierza Wielkiego\Pl.Woln.</v>
          </cell>
        </row>
        <row r="225">
          <cell r="H225" t="str">
            <v>Kącka</v>
          </cell>
        </row>
        <row r="226">
          <cell r="H226" t="str">
            <v>Kiełbaśnicza</v>
          </cell>
        </row>
        <row r="227">
          <cell r="H227" t="str">
            <v>Kiełczowska</v>
          </cell>
        </row>
        <row r="228">
          <cell r="H228" t="str">
            <v>Kilińskiego</v>
          </cell>
        </row>
        <row r="229">
          <cell r="H229" t="str">
            <v>Kilińskiego\Prusa</v>
          </cell>
        </row>
        <row r="230">
          <cell r="H230" t="str">
            <v>Klasztorna</v>
          </cell>
        </row>
        <row r="231">
          <cell r="H231" t="str">
            <v>Klecińska</v>
          </cell>
        </row>
        <row r="232">
          <cell r="H232" t="str">
            <v>Kleczkowska</v>
          </cell>
        </row>
        <row r="233">
          <cell r="H233" t="str">
            <v>Klimasa</v>
          </cell>
        </row>
        <row r="234">
          <cell r="H234" t="str">
            <v>Kluczborska</v>
          </cell>
        </row>
        <row r="235">
          <cell r="H235" t="str">
            <v>Kłośna</v>
          </cell>
        </row>
        <row r="236">
          <cell r="H236" t="str">
            <v>Kniaziewicza</v>
          </cell>
        </row>
        <row r="237">
          <cell r="H237" t="str">
            <v>Kobierzycka</v>
          </cell>
        </row>
        <row r="238">
          <cell r="H238" t="str">
            <v>Kochanowskiego</v>
          </cell>
        </row>
        <row r="239">
          <cell r="H239" t="str">
            <v>Kolbuszowska</v>
          </cell>
        </row>
        <row r="240">
          <cell r="H240" t="str">
            <v>Kolejowa</v>
          </cell>
        </row>
        <row r="241">
          <cell r="H241" t="str">
            <v>Kołłątaja</v>
          </cell>
        </row>
        <row r="242">
          <cell r="H242" t="str">
            <v>Komandorska</v>
          </cell>
        </row>
        <row r="243">
          <cell r="H243" t="str">
            <v>Komorowska</v>
          </cell>
        </row>
        <row r="244">
          <cell r="H244" t="str">
            <v>Komuny Paryskiej</v>
          </cell>
        </row>
        <row r="245">
          <cell r="H245" t="str">
            <v>Komuny Paryskiej-Kościuszki-Pułaskiego-Prądzyńskiego</v>
          </cell>
        </row>
        <row r="246">
          <cell r="H246" t="str">
            <v>Konarskiego</v>
          </cell>
        </row>
        <row r="247">
          <cell r="H247" t="str">
            <v>Konstytucji 3-go Maja Pl.</v>
          </cell>
        </row>
        <row r="248">
          <cell r="H248" t="str">
            <v>Kopernika</v>
          </cell>
        </row>
        <row r="249">
          <cell r="H249" t="str">
            <v>Koreańska</v>
          </cell>
        </row>
        <row r="250">
          <cell r="H250" t="str">
            <v>Korzeniowskiego Conrada</v>
          </cell>
        </row>
        <row r="251">
          <cell r="H251" t="str">
            <v>Kosmonautów</v>
          </cell>
        </row>
        <row r="252">
          <cell r="H252" t="str">
            <v>Kosynierów Gdyńskich</v>
          </cell>
        </row>
        <row r="253">
          <cell r="H253" t="str">
            <v>Kościelna</v>
          </cell>
        </row>
        <row r="254">
          <cell r="H254" t="str">
            <v>Kościuszki</v>
          </cell>
        </row>
        <row r="255">
          <cell r="H255" t="str">
            <v>Kościuszki Pl.</v>
          </cell>
        </row>
        <row r="256">
          <cell r="H256" t="str">
            <v>Kotlarska</v>
          </cell>
        </row>
        <row r="257">
          <cell r="H257" t="str">
            <v>Kotsisa</v>
          </cell>
        </row>
        <row r="258">
          <cell r="H258" t="str">
            <v>Kowalska</v>
          </cell>
        </row>
        <row r="259">
          <cell r="H259" t="str">
            <v>Kozanowska</v>
          </cell>
        </row>
        <row r="260">
          <cell r="H260" t="str">
            <v>Krakowska</v>
          </cell>
        </row>
        <row r="261">
          <cell r="H261" t="str">
            <v>Krakusa</v>
          </cell>
        </row>
        <row r="262">
          <cell r="H262" t="str">
            <v>Krasickiego</v>
          </cell>
        </row>
        <row r="263">
          <cell r="H263" t="str">
            <v>Krasińskiego</v>
          </cell>
        </row>
        <row r="264">
          <cell r="H264" t="str">
            <v>Kraszewskiego</v>
          </cell>
        </row>
        <row r="265">
          <cell r="H265" t="str">
            <v>Kreślarska</v>
          </cell>
        </row>
        <row r="266">
          <cell r="H266" t="str">
            <v>Krępicka</v>
          </cell>
        </row>
        <row r="267">
          <cell r="H267" t="str">
            <v>Kręta</v>
          </cell>
        </row>
        <row r="268">
          <cell r="H268" t="str">
            <v>Kromera Al.</v>
          </cell>
        </row>
        <row r="269">
          <cell r="H269" t="str">
            <v>Krośnieńska</v>
          </cell>
        </row>
        <row r="270">
          <cell r="H270" t="str">
            <v>Krotoszyńska</v>
          </cell>
        </row>
        <row r="271">
          <cell r="H271" t="str">
            <v>Krowia</v>
          </cell>
        </row>
        <row r="272">
          <cell r="H272" t="str">
            <v>Królewiecka</v>
          </cell>
        </row>
        <row r="273">
          <cell r="H273" t="str">
            <v>Krucza</v>
          </cell>
        </row>
        <row r="274">
          <cell r="H274" t="str">
            <v>Krupnicza</v>
          </cell>
        </row>
        <row r="275">
          <cell r="H275" t="str">
            <v>Krynicka</v>
          </cell>
        </row>
        <row r="276">
          <cell r="H276" t="str">
            <v>Krzemieniecka</v>
          </cell>
        </row>
        <row r="277">
          <cell r="H277" t="str">
            <v>Krzycka</v>
          </cell>
        </row>
        <row r="278">
          <cell r="H278" t="str">
            <v>Krzycka\Wiosenna</v>
          </cell>
        </row>
        <row r="279">
          <cell r="H279" t="str">
            <v>Krzywa</v>
          </cell>
        </row>
        <row r="280">
          <cell r="H280" t="str">
            <v>Krzywa\Reja</v>
          </cell>
        </row>
        <row r="281">
          <cell r="H281" t="str">
            <v>Krzywoustego</v>
          </cell>
        </row>
        <row r="282">
          <cell r="H282" t="str">
            <v>Ks.Witolda</v>
          </cell>
        </row>
        <row r="283">
          <cell r="H283" t="str">
            <v>Księgarska</v>
          </cell>
        </row>
        <row r="284">
          <cell r="H284" t="str">
            <v>Księska</v>
          </cell>
        </row>
        <row r="285">
          <cell r="H285" t="str">
            <v>Księżycowa</v>
          </cell>
        </row>
        <row r="286">
          <cell r="H286" t="str">
            <v>Kurkowa</v>
          </cell>
        </row>
        <row r="287">
          <cell r="H287" t="str">
            <v>Kurpiów</v>
          </cell>
        </row>
        <row r="288">
          <cell r="H288" t="str">
            <v>Kuźnicza</v>
          </cell>
        </row>
        <row r="289">
          <cell r="H289" t="str">
            <v>Kwaśna</v>
          </cell>
        </row>
        <row r="290">
          <cell r="H290" t="str">
            <v>Kwaśna\róg Stalowej</v>
          </cell>
        </row>
        <row r="291">
          <cell r="H291" t="str">
            <v>Kwidzyńska</v>
          </cell>
        </row>
        <row r="292">
          <cell r="H292" t="str">
            <v>Ledóchowskiego</v>
          </cell>
        </row>
        <row r="293">
          <cell r="H293" t="str">
            <v>Legionów Pl.</v>
          </cell>
        </row>
        <row r="294">
          <cell r="H294" t="str">
            <v>Legnicka</v>
          </cell>
        </row>
        <row r="295">
          <cell r="H295" t="str">
            <v>Lekcyjna</v>
          </cell>
        </row>
        <row r="296">
          <cell r="H296" t="str">
            <v>Lelewela</v>
          </cell>
        </row>
        <row r="297">
          <cell r="H297" t="str">
            <v>Leonarda da Vinci</v>
          </cell>
        </row>
        <row r="298">
          <cell r="H298" t="str">
            <v>Leszczyńskiego</v>
          </cell>
        </row>
        <row r="299">
          <cell r="H299" t="str">
            <v>Leśna</v>
          </cell>
        </row>
        <row r="300">
          <cell r="H300" t="str">
            <v>Libelta</v>
          </cell>
        </row>
        <row r="301">
          <cell r="H301" t="str">
            <v>Lipińskiego</v>
          </cell>
        </row>
        <row r="302">
          <cell r="H302" t="str">
            <v>Lipowa Al.</v>
          </cell>
        </row>
        <row r="303">
          <cell r="H303" t="str">
            <v>Liskego</v>
          </cell>
        </row>
        <row r="304">
          <cell r="H304" t="str">
            <v>Litomska</v>
          </cell>
        </row>
        <row r="305">
          <cell r="H305" t="str">
            <v>Lniana</v>
          </cell>
        </row>
        <row r="306">
          <cell r="H306" t="str">
            <v>Lompy</v>
          </cell>
        </row>
        <row r="307">
          <cell r="H307" t="str">
            <v>Lotnicza</v>
          </cell>
        </row>
        <row r="308">
          <cell r="H308" t="str">
            <v>Lubelska</v>
          </cell>
        </row>
        <row r="309">
          <cell r="H309" t="str">
            <v>Lubińska</v>
          </cell>
        </row>
        <row r="310">
          <cell r="H310" t="str">
            <v>Lubuska</v>
          </cell>
        </row>
        <row r="311">
          <cell r="H311" t="str">
            <v>Lwowska</v>
          </cell>
        </row>
        <row r="312">
          <cell r="H312" t="str">
            <v>Łaciarska</v>
          </cell>
        </row>
        <row r="313">
          <cell r="H313" t="str">
            <v>Ładna</v>
          </cell>
        </row>
        <row r="314">
          <cell r="H314" t="str">
            <v>Łanowa</v>
          </cell>
        </row>
        <row r="315">
          <cell r="H315" t="str">
            <v>Łaska (d.Leska)</v>
          </cell>
        </row>
        <row r="316">
          <cell r="H316" t="str">
            <v>Łazienna</v>
          </cell>
        </row>
        <row r="317">
          <cell r="H317" t="str">
            <v>Łączności</v>
          </cell>
        </row>
        <row r="318">
          <cell r="H318" t="str">
            <v>Łąka Mazurska</v>
          </cell>
        </row>
        <row r="319">
          <cell r="H319" t="str">
            <v>Łąkowa</v>
          </cell>
        </row>
        <row r="320">
          <cell r="H320" t="str">
            <v>Łęczycka</v>
          </cell>
        </row>
        <row r="321">
          <cell r="H321" t="str">
            <v>Łokietka</v>
          </cell>
        </row>
        <row r="322">
          <cell r="H322" t="str">
            <v>Łowiecka</v>
          </cell>
        </row>
        <row r="323">
          <cell r="H323" t="str">
            <v>Łódzka</v>
          </cell>
        </row>
        <row r="324">
          <cell r="H324" t="str">
            <v>Łubinowa</v>
          </cell>
        </row>
        <row r="325">
          <cell r="H325" t="str">
            <v>Łuczników</v>
          </cell>
        </row>
        <row r="326">
          <cell r="H326" t="str">
            <v>Łukasiewicza</v>
          </cell>
        </row>
        <row r="327">
          <cell r="H327" t="str">
            <v>Łukasińskiego</v>
          </cell>
        </row>
        <row r="328">
          <cell r="H328" t="str">
            <v>Łysogórska\Waflowa</v>
          </cell>
        </row>
        <row r="329">
          <cell r="H329" t="str">
            <v>Macieja Św. Pl.</v>
          </cell>
        </row>
        <row r="330">
          <cell r="H330" t="str">
            <v>Majchra</v>
          </cell>
        </row>
        <row r="331">
          <cell r="H331" t="str">
            <v>Makowa</v>
          </cell>
        </row>
        <row r="332">
          <cell r="H332" t="str">
            <v>Maksa Borna</v>
          </cell>
        </row>
        <row r="333">
          <cell r="H333" t="str">
            <v>Malarska</v>
          </cell>
        </row>
        <row r="334">
          <cell r="H334" t="str">
            <v>Malczewskiego</v>
          </cell>
        </row>
        <row r="335">
          <cell r="H335" t="str">
            <v>Małachowskiego</v>
          </cell>
        </row>
        <row r="336">
          <cell r="H336" t="str">
            <v>Manganowa</v>
          </cell>
        </row>
        <row r="337">
          <cell r="H337" t="str">
            <v>Marcina Św.</v>
          </cell>
        </row>
        <row r="338">
          <cell r="H338" t="str">
            <v>Marcinkowskiego</v>
          </cell>
        </row>
        <row r="339">
          <cell r="H339" t="str">
            <v>Marszowicka</v>
          </cell>
        </row>
        <row r="340">
          <cell r="H340" t="str">
            <v>Masztowa</v>
          </cell>
        </row>
        <row r="341">
          <cell r="H341" t="str">
            <v>Masztowa</v>
          </cell>
        </row>
        <row r="342">
          <cell r="H342" t="str">
            <v>Maślicka</v>
          </cell>
        </row>
        <row r="343">
          <cell r="H343" t="str">
            <v>Matejki Al.</v>
          </cell>
        </row>
        <row r="344">
          <cell r="H344" t="str">
            <v>Mazowiecka</v>
          </cell>
        </row>
        <row r="345">
          <cell r="H345" t="str">
            <v>Mennicza</v>
          </cell>
        </row>
        <row r="346">
          <cell r="H346" t="str">
            <v>Męcińskiego</v>
          </cell>
        </row>
        <row r="347">
          <cell r="H347" t="str">
            <v>Miarki Karola</v>
          </cell>
        </row>
        <row r="348">
          <cell r="H348" t="str">
            <v>Micińskiego</v>
          </cell>
        </row>
        <row r="349">
          <cell r="H349" t="str">
            <v>Mickiewicza</v>
          </cell>
        </row>
        <row r="350">
          <cell r="H350" t="str">
            <v>Mielczarskiego</v>
          </cell>
        </row>
        <row r="351">
          <cell r="H351" t="str">
            <v>Mielecka</v>
          </cell>
        </row>
        <row r="352">
          <cell r="H352" t="str">
            <v>Miernicza</v>
          </cell>
        </row>
        <row r="353">
          <cell r="H353" t="str">
            <v>Mierosławskiego</v>
          </cell>
        </row>
        <row r="354">
          <cell r="H354" t="str">
            <v>Mieszka I</v>
          </cell>
        </row>
        <row r="355">
          <cell r="H355" t="str">
            <v>Migdałowa</v>
          </cell>
        </row>
        <row r="356">
          <cell r="H356" t="str">
            <v>Mikołaja Św.</v>
          </cell>
        </row>
        <row r="357">
          <cell r="H357" t="str">
            <v>Milicka</v>
          </cell>
        </row>
        <row r="358">
          <cell r="H358" t="str">
            <v>Miłoszycka</v>
          </cell>
        </row>
        <row r="359">
          <cell r="H359" t="str">
            <v>Minkowskiego</v>
          </cell>
        </row>
        <row r="360">
          <cell r="H360" t="str">
            <v>Miodowa</v>
          </cell>
        </row>
        <row r="361">
          <cell r="H361" t="str">
            <v>Miodowa\Trzmielowicka</v>
          </cell>
        </row>
        <row r="362">
          <cell r="H362" t="str">
            <v>Młynarska</v>
          </cell>
        </row>
        <row r="363">
          <cell r="H363" t="str">
            <v>Modlińska</v>
          </cell>
        </row>
        <row r="364">
          <cell r="H364" t="str">
            <v>Modlińska</v>
          </cell>
        </row>
        <row r="365">
          <cell r="H365" t="str">
            <v>Mokrzańska</v>
          </cell>
        </row>
        <row r="366">
          <cell r="H366" t="str">
            <v>Mongolski Pl.</v>
          </cell>
        </row>
        <row r="367">
          <cell r="H367" t="str">
            <v>Moniuszki</v>
          </cell>
        </row>
        <row r="368">
          <cell r="H368" t="str">
            <v>Monte Cassino</v>
          </cell>
        </row>
        <row r="369">
          <cell r="H369" t="str">
            <v>Morawska</v>
          </cell>
        </row>
        <row r="370">
          <cell r="H370" t="str">
            <v>Mosbacha</v>
          </cell>
        </row>
        <row r="371">
          <cell r="H371" t="str">
            <v>Mosiężna</v>
          </cell>
        </row>
        <row r="372">
          <cell r="H372" t="str">
            <v>Mościckiego</v>
          </cell>
        </row>
        <row r="373">
          <cell r="H373" t="str">
            <v>Mulicka</v>
          </cell>
        </row>
        <row r="374">
          <cell r="H374" t="str">
            <v>Murarska</v>
          </cell>
        </row>
        <row r="375">
          <cell r="H375" t="str">
            <v>Murarska\Koszykarska</v>
          </cell>
        </row>
        <row r="376">
          <cell r="H376" t="str">
            <v>Muzealny Pl.</v>
          </cell>
        </row>
        <row r="377">
          <cell r="H377" t="str">
            <v>Myśliwska</v>
          </cell>
        </row>
        <row r="378">
          <cell r="H378" t="str">
            <v>Na Grobli</v>
          </cell>
        </row>
        <row r="379">
          <cell r="H379" t="str">
            <v>Na Szańcach</v>
          </cell>
        </row>
        <row r="380">
          <cell r="H380" t="str">
            <v>Nabycińska</v>
          </cell>
        </row>
        <row r="381">
          <cell r="H381" t="str">
            <v>Nankiera Pl.</v>
          </cell>
        </row>
        <row r="382">
          <cell r="H382" t="str">
            <v>Narcyzowa</v>
          </cell>
        </row>
        <row r="383">
          <cell r="H383" t="str">
            <v>Nasturcjowa</v>
          </cell>
        </row>
        <row r="384">
          <cell r="H384" t="str">
            <v>Nasypowa</v>
          </cell>
        </row>
        <row r="385">
          <cell r="H385" t="str">
            <v>Nauczycielska</v>
          </cell>
        </row>
        <row r="386">
          <cell r="H386" t="str">
            <v>Nehringa</v>
          </cell>
        </row>
        <row r="387">
          <cell r="H387" t="str">
            <v>Niecała</v>
          </cell>
        </row>
        <row r="388">
          <cell r="H388" t="str">
            <v>Niemcewicza</v>
          </cell>
        </row>
        <row r="389">
          <cell r="H389" t="str">
            <v>Niepodległości</v>
          </cell>
        </row>
        <row r="390">
          <cell r="H390" t="str">
            <v>Niklowa</v>
          </cell>
        </row>
        <row r="391">
          <cell r="H391" t="str">
            <v>Nobla</v>
          </cell>
        </row>
        <row r="392">
          <cell r="H392" t="str">
            <v>Norblina</v>
          </cell>
        </row>
        <row r="393">
          <cell r="H393" t="str">
            <v>Norweska</v>
          </cell>
        </row>
        <row r="394">
          <cell r="H394" t="str">
            <v>Norwida</v>
          </cell>
        </row>
        <row r="395">
          <cell r="H395" t="str">
            <v>Norwida-Smoluchowskiego</v>
          </cell>
        </row>
        <row r="396">
          <cell r="H396" t="str">
            <v>Nowa</v>
          </cell>
        </row>
        <row r="397">
          <cell r="H397" t="str">
            <v>Nowodworska</v>
          </cell>
        </row>
        <row r="398">
          <cell r="H398" t="str">
            <v>Nowowiejska</v>
          </cell>
        </row>
        <row r="399">
          <cell r="H399" t="str">
            <v>Nowowiejska\Prusa</v>
          </cell>
        </row>
        <row r="400">
          <cell r="H400" t="str">
            <v>Nowy Targ</v>
          </cell>
        </row>
        <row r="401">
          <cell r="H401" t="str">
            <v>Nożownicza</v>
          </cell>
        </row>
        <row r="402">
          <cell r="H402" t="str">
            <v>Nulla</v>
          </cell>
        </row>
        <row r="403">
          <cell r="H403" t="str">
            <v>Nyska</v>
          </cell>
        </row>
        <row r="404">
          <cell r="H404" t="str">
            <v>Objazdowa</v>
          </cell>
        </row>
        <row r="405">
          <cell r="H405" t="str">
            <v>Obornicka</v>
          </cell>
        </row>
        <row r="406">
          <cell r="H406" t="str">
            <v>Obroń. Pocz. Gdań.</v>
          </cell>
        </row>
        <row r="407">
          <cell r="H407" t="str">
            <v>Odkrywców</v>
          </cell>
        </row>
        <row r="408">
          <cell r="H408" t="str">
            <v>Odrodzenia Polski</v>
          </cell>
        </row>
        <row r="409">
          <cell r="H409" t="str">
            <v>Odrzańska</v>
          </cell>
        </row>
        <row r="410">
          <cell r="H410" t="str">
            <v>Of. Oświęcimskich</v>
          </cell>
        </row>
        <row r="411">
          <cell r="H411" t="str">
            <v>Oficerska</v>
          </cell>
        </row>
        <row r="412">
          <cell r="H412" t="str">
            <v>Ogródek Jordanowski</v>
          </cell>
        </row>
        <row r="413">
          <cell r="H413" t="str">
            <v>Okrzei</v>
          </cell>
        </row>
        <row r="414">
          <cell r="H414" t="str">
            <v>Okulickiego</v>
          </cell>
        </row>
        <row r="415">
          <cell r="H415" t="str">
            <v>Oleśnicka</v>
          </cell>
        </row>
        <row r="416">
          <cell r="H416" t="str">
            <v>Olszewskiego</v>
          </cell>
        </row>
        <row r="417">
          <cell r="H417" t="str">
            <v>Olsztyńska</v>
          </cell>
        </row>
        <row r="418">
          <cell r="H418" t="str">
            <v>Oławska</v>
          </cell>
        </row>
        <row r="419">
          <cell r="H419" t="str">
            <v>Ołbińska</v>
          </cell>
        </row>
        <row r="420">
          <cell r="H420" t="str">
            <v>Ołowiana</v>
          </cell>
        </row>
        <row r="421">
          <cell r="H421" t="str">
            <v>Opolska</v>
          </cell>
        </row>
        <row r="422">
          <cell r="H422" t="str">
            <v>Oporowska</v>
          </cell>
        </row>
        <row r="423">
          <cell r="H423" t="str">
            <v>Orkana</v>
          </cell>
        </row>
        <row r="424">
          <cell r="H424" t="str">
            <v>Orla</v>
          </cell>
        </row>
        <row r="425">
          <cell r="H425" t="str">
            <v>Orląt Lwowskich Pl.</v>
          </cell>
        </row>
        <row r="426">
          <cell r="H426" t="str">
            <v>Orzechowa</v>
          </cell>
        </row>
        <row r="427">
          <cell r="H427" t="str">
            <v>Orzeszkowej</v>
          </cell>
        </row>
        <row r="428">
          <cell r="H428" t="str">
            <v>Orzeszkowej\Jaracza</v>
          </cell>
        </row>
        <row r="429">
          <cell r="H429" t="str">
            <v>Osadnicza</v>
          </cell>
        </row>
        <row r="430">
          <cell r="H430" t="str">
            <v>Osmańczyka</v>
          </cell>
        </row>
        <row r="431">
          <cell r="H431" t="str">
            <v>Osobowicka</v>
          </cell>
        </row>
        <row r="432">
          <cell r="H432" t="str">
            <v>Ostrowska</v>
          </cell>
        </row>
        <row r="433">
          <cell r="H433" t="str">
            <v>Ostrowskiego</v>
          </cell>
        </row>
        <row r="434">
          <cell r="H434" t="str">
            <v>Otmuchowska</v>
          </cell>
        </row>
        <row r="435">
          <cell r="H435" t="str">
            <v>Otwarta</v>
          </cell>
        </row>
        <row r="436">
          <cell r="H436" t="str">
            <v>Owocowa</v>
          </cell>
        </row>
        <row r="437">
          <cell r="H437" t="str">
            <v>Owsiana</v>
          </cell>
        </row>
        <row r="438">
          <cell r="H438" t="str">
            <v>Owsiana</v>
          </cell>
        </row>
        <row r="439">
          <cell r="H439" t="str">
            <v>Paczkowska</v>
          </cell>
        </row>
        <row r="440">
          <cell r="H440" t="str">
            <v>Pakistańska</v>
          </cell>
        </row>
        <row r="441">
          <cell r="H441" t="str">
            <v>Pałucka</v>
          </cell>
        </row>
        <row r="442">
          <cell r="H442" t="str">
            <v>Pankiewicza</v>
          </cell>
        </row>
        <row r="443">
          <cell r="H443" t="str">
            <v>Papiernicza</v>
          </cell>
        </row>
        <row r="444">
          <cell r="H444" t="str">
            <v>Parafialna</v>
          </cell>
        </row>
        <row r="445">
          <cell r="H445" t="str">
            <v>Parkowa</v>
          </cell>
        </row>
        <row r="446">
          <cell r="H446" t="str">
            <v>Parnickiego</v>
          </cell>
        </row>
        <row r="447">
          <cell r="H447" t="str">
            <v>Partynicka</v>
          </cell>
        </row>
        <row r="448">
          <cell r="H448" t="str">
            <v>Partyzantów</v>
          </cell>
        </row>
        <row r="449">
          <cell r="H449" t="str">
            <v>Pasteura</v>
          </cell>
        </row>
        <row r="450">
          <cell r="H450" t="str">
            <v>Paulińska</v>
          </cell>
        </row>
        <row r="451">
          <cell r="H451" t="str">
            <v>Pawia</v>
          </cell>
        </row>
        <row r="452">
          <cell r="H452" t="str">
            <v>Pawłowa</v>
          </cell>
        </row>
        <row r="453">
          <cell r="H453" t="str">
            <v>Pełczyńska</v>
          </cell>
        </row>
        <row r="454">
          <cell r="H454" t="str">
            <v>Pereca</v>
          </cell>
        </row>
        <row r="455">
          <cell r="H455" t="str">
            <v>Pereca Plac</v>
          </cell>
        </row>
        <row r="456">
          <cell r="H456" t="str">
            <v>Pestalozziego</v>
          </cell>
        </row>
        <row r="457">
          <cell r="H457" t="str">
            <v>Pęgowska</v>
          </cell>
        </row>
        <row r="458">
          <cell r="H458" t="str">
            <v>Piaskowa</v>
          </cell>
        </row>
        <row r="459">
          <cell r="H459" t="str">
            <v>Piastowska</v>
          </cell>
        </row>
        <row r="460">
          <cell r="H460" t="str">
            <v>Piastów</v>
          </cell>
        </row>
        <row r="461">
          <cell r="H461" t="str">
            <v>Piekarska</v>
          </cell>
        </row>
        <row r="462">
          <cell r="H462" t="str">
            <v>Piernikowa</v>
          </cell>
        </row>
        <row r="463">
          <cell r="H463" t="str">
            <v>Piękna</v>
          </cell>
        </row>
        <row r="464">
          <cell r="H464" t="str">
            <v>Pilczycka</v>
          </cell>
        </row>
        <row r="465">
          <cell r="H465" t="str">
            <v>Piłsudskiego</v>
          </cell>
        </row>
        <row r="466">
          <cell r="H466" t="str">
            <v>Piłsudskiego Pl.</v>
          </cell>
        </row>
        <row r="467">
          <cell r="H467" t="str">
            <v>Pionierska</v>
          </cell>
        </row>
        <row r="468">
          <cell r="H468" t="str">
            <v>Pionierów</v>
          </cell>
        </row>
        <row r="469">
          <cell r="H469" t="str">
            <v>Piwnika Ponurego</v>
          </cell>
        </row>
        <row r="470">
          <cell r="H470" t="str">
            <v>Piwowarska</v>
          </cell>
        </row>
        <row r="471">
          <cell r="H471" t="str">
            <v>Plater Emilii</v>
          </cell>
        </row>
        <row r="472">
          <cell r="H472" t="str">
            <v>Pleszewska</v>
          </cell>
        </row>
        <row r="473">
          <cell r="H473" t="str">
            <v>Płońskiego</v>
          </cell>
        </row>
        <row r="474">
          <cell r="H474" t="str">
            <v>Pobożnego</v>
          </cell>
        </row>
        <row r="475">
          <cell r="H475" t="str">
            <v>Pocztowa</v>
          </cell>
        </row>
        <row r="476">
          <cell r="H476" t="str">
            <v>Podchorążych</v>
          </cell>
        </row>
        <row r="477">
          <cell r="H477" t="str">
            <v>Podróżnicza</v>
          </cell>
        </row>
        <row r="478">
          <cell r="H478" t="str">
            <v>Podwale</v>
          </cell>
        </row>
        <row r="479">
          <cell r="H479" t="str">
            <v>Podwale\Komuny Paryskiej</v>
          </cell>
        </row>
        <row r="480">
          <cell r="H480" t="str">
            <v>Podwale\Krupnicza</v>
          </cell>
        </row>
        <row r="481">
          <cell r="H481" t="str">
            <v>Podwale\Skargi Piotra</v>
          </cell>
        </row>
        <row r="482">
          <cell r="H482" t="str">
            <v>Podwórcowa</v>
          </cell>
        </row>
        <row r="483">
          <cell r="H483" t="str">
            <v>Pola Wincentego</v>
          </cell>
        </row>
        <row r="484">
          <cell r="H484" t="str">
            <v>Polaka</v>
          </cell>
        </row>
        <row r="485">
          <cell r="H485" t="str">
            <v>Poleska</v>
          </cell>
        </row>
        <row r="486">
          <cell r="H486" t="str">
            <v>Polna</v>
          </cell>
        </row>
        <row r="487">
          <cell r="H487" t="str">
            <v>Polonii Wrocławskiej</v>
          </cell>
        </row>
        <row r="488">
          <cell r="H488" t="str">
            <v>Połaniecka</v>
          </cell>
        </row>
        <row r="489">
          <cell r="H489" t="str">
            <v>Połbina</v>
          </cell>
        </row>
        <row r="490">
          <cell r="H490" t="str">
            <v>Południowa</v>
          </cell>
        </row>
        <row r="491">
          <cell r="H491" t="str">
            <v>Pomorska</v>
          </cell>
        </row>
        <row r="492">
          <cell r="H492" t="str">
            <v>Poniatowskiego</v>
          </cell>
        </row>
        <row r="493">
          <cell r="H493" t="str">
            <v>Popielskiego</v>
          </cell>
        </row>
        <row r="494">
          <cell r="H494" t="str">
            <v>Poranna</v>
          </cell>
        </row>
        <row r="495">
          <cell r="H495" t="str">
            <v>Porębska</v>
          </cell>
        </row>
        <row r="496">
          <cell r="H496" t="str">
            <v>Poświęcka</v>
          </cell>
        </row>
        <row r="497">
          <cell r="H497" t="str">
            <v>Potebni</v>
          </cell>
        </row>
        <row r="498">
          <cell r="H498" t="str">
            <v>Potokowa</v>
          </cell>
        </row>
        <row r="499">
          <cell r="H499" t="str">
            <v>Powstańców Śl.</v>
          </cell>
        </row>
        <row r="500">
          <cell r="H500" t="str">
            <v>Powstańców Śl. Pl.</v>
          </cell>
        </row>
        <row r="501">
          <cell r="H501" t="str">
            <v>Powstańców Wlkp. Pl.</v>
          </cell>
        </row>
        <row r="502">
          <cell r="H502" t="str">
            <v>Północna</v>
          </cell>
        </row>
        <row r="503">
          <cell r="H503" t="str">
            <v>Pracy Al.</v>
          </cell>
        </row>
        <row r="504">
          <cell r="H504" t="str">
            <v>Prądzyńskiego</v>
          </cell>
        </row>
        <row r="505">
          <cell r="H505" t="str">
            <v>Pretficza</v>
          </cell>
        </row>
        <row r="506">
          <cell r="H506" t="str">
            <v>Probusa</v>
          </cell>
        </row>
        <row r="507">
          <cell r="H507" t="str">
            <v>Promenada</v>
          </cell>
        </row>
        <row r="508">
          <cell r="H508" t="str">
            <v>Promień</v>
          </cell>
        </row>
        <row r="509">
          <cell r="H509" t="str">
            <v>Prosta</v>
          </cell>
        </row>
        <row r="510">
          <cell r="H510" t="str">
            <v>Prudnicka</v>
          </cell>
        </row>
        <row r="511">
          <cell r="H511" t="str">
            <v>Prusa</v>
          </cell>
        </row>
        <row r="512">
          <cell r="H512" t="str">
            <v>Przednia</v>
          </cell>
        </row>
        <row r="513">
          <cell r="H513" t="str">
            <v>Przedwiośnie</v>
          </cell>
        </row>
        <row r="514">
          <cell r="H514" t="str">
            <v>Przejazdowa</v>
          </cell>
        </row>
        <row r="515">
          <cell r="H515" t="str">
            <v>Przejście Garncarskie</v>
          </cell>
        </row>
        <row r="516">
          <cell r="H516" t="str">
            <v>Przemkowska</v>
          </cell>
        </row>
        <row r="517">
          <cell r="H517" t="str">
            <v>Przesiecka</v>
          </cell>
        </row>
        <row r="518">
          <cell r="H518" t="str">
            <v>Przeskok</v>
          </cell>
        </row>
        <row r="519">
          <cell r="H519" t="str">
            <v>Przesmyckiego</v>
          </cell>
        </row>
        <row r="520">
          <cell r="H520" t="str">
            <v>Przestrzenna</v>
          </cell>
        </row>
        <row r="521">
          <cell r="H521" t="str">
            <v>Przestrzenna\Tomaszowska</v>
          </cell>
        </row>
        <row r="522">
          <cell r="H522" t="str">
            <v>Przybyszewskiego</v>
          </cell>
        </row>
        <row r="523">
          <cell r="H523" t="str">
            <v>Przyjaźni</v>
          </cell>
        </row>
        <row r="524">
          <cell r="H524" t="str">
            <v>Przystankowa</v>
          </cell>
        </row>
        <row r="525">
          <cell r="H525" t="str">
            <v>Psie Budy</v>
          </cell>
        </row>
        <row r="526">
          <cell r="H526" t="str">
            <v>Pszczelarska</v>
          </cell>
        </row>
        <row r="527">
          <cell r="H527" t="str">
            <v>Pszczyńska</v>
          </cell>
        </row>
        <row r="528">
          <cell r="H528" t="str">
            <v>Pszenna</v>
          </cell>
        </row>
        <row r="529">
          <cell r="H529" t="str">
            <v>Ptasia</v>
          </cell>
        </row>
        <row r="530">
          <cell r="H530" t="str">
            <v>Pugeta</v>
          </cell>
        </row>
        <row r="531">
          <cell r="H531" t="str">
            <v>Pułaskiego</v>
          </cell>
        </row>
        <row r="532">
          <cell r="H532" t="str">
            <v>Pułtuska</v>
          </cell>
        </row>
        <row r="533">
          <cell r="H533" t="str">
            <v>Purkyniego</v>
          </cell>
        </row>
        <row r="534">
          <cell r="H534" t="str">
            <v>Pusta</v>
          </cell>
        </row>
        <row r="535">
          <cell r="H535" t="str">
            <v>Pustecka</v>
          </cell>
        </row>
        <row r="536">
          <cell r="H536" t="str">
            <v>Puszczykowska</v>
          </cell>
        </row>
        <row r="537">
          <cell r="H537" t="str">
            <v>Racławicka</v>
          </cell>
        </row>
        <row r="538">
          <cell r="H538" t="str">
            <v>Radomska</v>
          </cell>
        </row>
        <row r="539">
          <cell r="H539" t="str">
            <v>Rajska</v>
          </cell>
        </row>
        <row r="540">
          <cell r="H540" t="str">
            <v>Rakietowa</v>
          </cell>
        </row>
        <row r="541">
          <cell r="H541" t="str">
            <v>Rakowiecka</v>
          </cell>
        </row>
        <row r="542">
          <cell r="H542" t="str">
            <v>Rdestowa</v>
          </cell>
        </row>
        <row r="543">
          <cell r="H543" t="str">
            <v xml:space="preserve">Redarów </v>
          </cell>
        </row>
        <row r="544">
          <cell r="H544" t="str">
            <v>Redycka</v>
          </cell>
        </row>
        <row r="545">
          <cell r="H545" t="str">
            <v>Reja</v>
          </cell>
        </row>
        <row r="546">
          <cell r="H546" t="str">
            <v>Rejtana</v>
          </cell>
        </row>
        <row r="547">
          <cell r="H547" t="str">
            <v>Reymonta</v>
          </cell>
        </row>
        <row r="548">
          <cell r="H548" t="str">
            <v>Rędzińska</v>
          </cell>
        </row>
        <row r="549">
          <cell r="H549" t="str">
            <v>Robotnicza</v>
          </cell>
        </row>
        <row r="550">
          <cell r="H550" t="str">
            <v>Robotnicza\Wagonowa</v>
          </cell>
        </row>
        <row r="551">
          <cell r="H551" t="str">
            <v>Rodakowskiego</v>
          </cell>
        </row>
        <row r="552">
          <cell r="H552" t="str">
            <v>Roentgena</v>
          </cell>
        </row>
        <row r="553">
          <cell r="H553" t="str">
            <v>Rolnicza</v>
          </cell>
        </row>
        <row r="554">
          <cell r="H554" t="str">
            <v>Romanowskiego</v>
          </cell>
        </row>
        <row r="555">
          <cell r="H555" t="str">
            <v>Roosevelta</v>
          </cell>
        </row>
        <row r="556">
          <cell r="H556" t="str">
            <v>Rostafińskiego</v>
          </cell>
        </row>
        <row r="557">
          <cell r="H557" t="str">
            <v>Rozbrat</v>
          </cell>
        </row>
        <row r="558">
          <cell r="H558" t="str">
            <v>Równa</v>
          </cell>
        </row>
        <row r="559">
          <cell r="H559" t="str">
            <v>Rubczaka</v>
          </cell>
        </row>
        <row r="560">
          <cell r="H560" t="str">
            <v>Rumiankowa</v>
          </cell>
        </row>
        <row r="561">
          <cell r="H561" t="str">
            <v>Ruska</v>
          </cell>
        </row>
        <row r="562">
          <cell r="H562" t="str">
            <v>Ruska \ Rzeźnicza</v>
          </cell>
        </row>
        <row r="563">
          <cell r="H563" t="str">
            <v>Rybacka</v>
          </cell>
        </row>
        <row r="564">
          <cell r="H564" t="str">
            <v>Rybia</v>
          </cell>
        </row>
        <row r="565">
          <cell r="H565" t="str">
            <v>Rybnicka</v>
          </cell>
        </row>
        <row r="566">
          <cell r="H566" t="str">
            <v>Rychtalska</v>
          </cell>
        </row>
        <row r="567">
          <cell r="H567" t="str">
            <v>Rydygiera</v>
          </cell>
        </row>
        <row r="568">
          <cell r="H568" t="str">
            <v>Rynek</v>
          </cell>
        </row>
        <row r="569">
          <cell r="H569" t="str">
            <v>Rynek-Ratusz</v>
          </cell>
        </row>
        <row r="570">
          <cell r="H570" t="str">
            <v>Rytownicza</v>
          </cell>
        </row>
        <row r="571">
          <cell r="H571" t="str">
            <v>Rytownicza\Średzka</v>
          </cell>
        </row>
        <row r="572">
          <cell r="H572" t="str">
            <v>Rzeźnicza</v>
          </cell>
        </row>
        <row r="573">
          <cell r="H573" t="str">
            <v>Sadownicza</v>
          </cell>
        </row>
        <row r="574">
          <cell r="H574" t="str">
            <v>Samborska</v>
          </cell>
        </row>
        <row r="575">
          <cell r="H575" t="str">
            <v>Saperów</v>
          </cell>
        </row>
        <row r="576">
          <cell r="H576" t="str">
            <v>Sarbinowska</v>
          </cell>
        </row>
        <row r="577">
          <cell r="H577" t="str">
            <v>Sądowa</v>
          </cell>
        </row>
        <row r="578">
          <cell r="H578" t="str">
            <v>Semaforowa</v>
          </cell>
        </row>
        <row r="579">
          <cell r="H579" t="str">
            <v>Sempołowskiej</v>
          </cell>
        </row>
        <row r="580">
          <cell r="H580" t="str">
            <v>Sernicka</v>
          </cell>
        </row>
        <row r="581">
          <cell r="H581" t="str">
            <v>Serowarska</v>
          </cell>
        </row>
        <row r="582">
          <cell r="H582" t="str">
            <v>Sępa Szarzyńskiego</v>
          </cell>
        </row>
        <row r="583">
          <cell r="H583" t="str">
            <v>Sępa Szarzyńskiego-Ukryta-Rozbrat</v>
          </cell>
        </row>
        <row r="584">
          <cell r="H584" t="str">
            <v>Siemieńskiego</v>
          </cell>
        </row>
        <row r="585">
          <cell r="H585" t="str">
            <v>Siemiradzkiego</v>
          </cell>
        </row>
        <row r="586">
          <cell r="H586" t="str">
            <v>Sienkiewicza</v>
          </cell>
        </row>
        <row r="587">
          <cell r="H587" t="str">
            <v>Sienna</v>
          </cell>
        </row>
        <row r="588">
          <cell r="H588" t="str">
            <v>Sierakowskiego</v>
          </cell>
        </row>
        <row r="589">
          <cell r="H589" t="str">
            <v>Sikorskiego</v>
          </cell>
        </row>
        <row r="590">
          <cell r="H590" t="str">
            <v>Skarbowców</v>
          </cell>
        </row>
        <row r="591">
          <cell r="H591" t="str">
            <v>Skargi Piotra</v>
          </cell>
        </row>
        <row r="592">
          <cell r="H592" t="str">
            <v>Skłodowskiej-Curie</v>
          </cell>
        </row>
        <row r="593">
          <cell r="H593" t="str">
            <v>Skoczylasa</v>
          </cell>
        </row>
        <row r="594">
          <cell r="H594" t="str">
            <v>Skoczylasa (Średzka 13)</v>
          </cell>
        </row>
        <row r="595">
          <cell r="H595" t="str">
            <v>Skrajna</v>
          </cell>
        </row>
        <row r="596">
          <cell r="H596" t="str">
            <v>Skwierzyńska</v>
          </cell>
        </row>
        <row r="597">
          <cell r="H597" t="str">
            <v>Sławka</v>
          </cell>
        </row>
        <row r="598">
          <cell r="H598" t="str">
            <v>Słowackiego Wybrzeże</v>
          </cell>
        </row>
        <row r="599">
          <cell r="H599" t="str">
            <v>Słowiańska</v>
          </cell>
        </row>
        <row r="600">
          <cell r="H600" t="str">
            <v>Słowiańska - plomba</v>
          </cell>
        </row>
        <row r="601">
          <cell r="H601" t="str">
            <v>Słowicza</v>
          </cell>
        </row>
        <row r="602">
          <cell r="H602" t="str">
            <v>Słubicka</v>
          </cell>
        </row>
        <row r="603">
          <cell r="H603" t="str">
            <v>Smocza</v>
          </cell>
        </row>
        <row r="604">
          <cell r="H604" t="str">
            <v>Smoluchowskiego</v>
          </cell>
        </row>
        <row r="605">
          <cell r="H605" t="str">
            <v>Sochaczewska</v>
          </cell>
        </row>
        <row r="606">
          <cell r="H606" t="str">
            <v>Sokola</v>
          </cell>
        </row>
        <row r="607">
          <cell r="H607" t="str">
            <v>Sokola\Ulanowskiego</v>
          </cell>
        </row>
        <row r="608">
          <cell r="H608" t="str">
            <v>Sokolnicza</v>
          </cell>
        </row>
        <row r="609">
          <cell r="H609" t="str">
            <v>Solny Pl.</v>
          </cell>
        </row>
        <row r="610">
          <cell r="H610" t="str">
            <v>Solskiego</v>
          </cell>
        </row>
        <row r="611">
          <cell r="H611" t="str">
            <v>Sołtysowicka</v>
          </cell>
        </row>
        <row r="612">
          <cell r="H612" t="str">
            <v>Sopocka</v>
          </cell>
        </row>
        <row r="613">
          <cell r="H613" t="str">
            <v>Sowia</v>
          </cell>
        </row>
        <row r="614">
          <cell r="H614" t="str">
            <v>Sowińskiego</v>
          </cell>
        </row>
        <row r="615">
          <cell r="H615" t="str">
            <v>Spadochroniarzy</v>
          </cell>
        </row>
        <row r="616">
          <cell r="H616" t="str">
            <v>Spiżowa</v>
          </cell>
        </row>
        <row r="617">
          <cell r="H617" t="str">
            <v>Spółdzielcza</v>
          </cell>
        </row>
        <row r="618">
          <cell r="H618" t="str">
            <v>Srebrny Pl.</v>
          </cell>
        </row>
        <row r="619">
          <cell r="H619" t="str">
            <v>Stabłowicka</v>
          </cell>
        </row>
        <row r="620">
          <cell r="H620" t="str">
            <v>Staffa</v>
          </cell>
        </row>
        <row r="621">
          <cell r="H621" t="str">
            <v>Stalowa</v>
          </cell>
        </row>
        <row r="622">
          <cell r="H622" t="str">
            <v>Stalowowolska</v>
          </cell>
        </row>
        <row r="623">
          <cell r="H623" t="str">
            <v>Stanisławowska</v>
          </cell>
        </row>
        <row r="624">
          <cell r="H624" t="str">
            <v>Stanisławskiego</v>
          </cell>
        </row>
        <row r="625">
          <cell r="H625" t="str">
            <v>Starobielawska</v>
          </cell>
        </row>
        <row r="626">
          <cell r="H626" t="str">
            <v>Starodworska</v>
          </cell>
        </row>
        <row r="627">
          <cell r="H627" t="str">
            <v>Starościńska</v>
          </cell>
        </row>
        <row r="628">
          <cell r="H628" t="str">
            <v>Staszica Pl.</v>
          </cell>
        </row>
        <row r="629">
          <cell r="H629" t="str">
            <v>Stawowa</v>
          </cell>
        </row>
        <row r="630">
          <cell r="H630" t="str">
            <v>Stefczyka</v>
          </cell>
        </row>
        <row r="631">
          <cell r="H631" t="str">
            <v>Stein Edyty</v>
          </cell>
        </row>
        <row r="632">
          <cell r="H632" t="str">
            <v>Stoczniowa</v>
          </cell>
        </row>
        <row r="633">
          <cell r="H633" t="str">
            <v>Stopnicka</v>
          </cell>
        </row>
        <row r="634">
          <cell r="H634" t="str">
            <v>Strachocińska</v>
          </cell>
        </row>
        <row r="635">
          <cell r="H635" t="str">
            <v>Strachowicka</v>
          </cell>
        </row>
        <row r="636">
          <cell r="H636" t="str">
            <v>Strachowskiego</v>
          </cell>
        </row>
        <row r="637">
          <cell r="H637" t="str">
            <v>Struga</v>
          </cell>
        </row>
        <row r="638">
          <cell r="H638" t="str">
            <v>Strzegomska</v>
          </cell>
        </row>
        <row r="639">
          <cell r="H639" t="str">
            <v>Strzelecki Pl.</v>
          </cell>
        </row>
        <row r="640">
          <cell r="H640" t="str">
            <v>Stysia</v>
          </cell>
        </row>
        <row r="641">
          <cell r="H641" t="str">
            <v>Suchardy</v>
          </cell>
        </row>
        <row r="642">
          <cell r="H642" t="str">
            <v>Sudecka</v>
          </cell>
        </row>
        <row r="643">
          <cell r="H643" t="str">
            <v>Sukiennice</v>
          </cell>
        </row>
        <row r="644">
          <cell r="H644" t="str">
            <v>Sulejowska</v>
          </cell>
        </row>
        <row r="645">
          <cell r="H645" t="str">
            <v>Swobodna</v>
          </cell>
        </row>
        <row r="646">
          <cell r="H646" t="str">
            <v>Swojczycka</v>
          </cell>
        </row>
        <row r="647">
          <cell r="H647" t="str">
            <v>Sycowska</v>
          </cell>
        </row>
        <row r="648">
          <cell r="H648" t="str">
            <v>Szajnochy</v>
          </cell>
        </row>
        <row r="649">
          <cell r="H649" t="str">
            <v>Szanieckiego</v>
          </cell>
        </row>
        <row r="650">
          <cell r="H650" t="str">
            <v>Szczecińska</v>
          </cell>
        </row>
        <row r="651">
          <cell r="H651" t="str">
            <v>Szczęśliwa</v>
          </cell>
        </row>
        <row r="652">
          <cell r="H652" t="str">
            <v>Szczygla</v>
          </cell>
        </row>
        <row r="653">
          <cell r="H653" t="str">
            <v>Szczyrki</v>
          </cell>
        </row>
        <row r="654">
          <cell r="H654" t="str">
            <v>Szczytnicka</v>
          </cell>
        </row>
        <row r="655">
          <cell r="H655" t="str">
            <v>Szewczenki</v>
          </cell>
        </row>
        <row r="656">
          <cell r="H656" t="str">
            <v>Szewska</v>
          </cell>
        </row>
        <row r="657">
          <cell r="H657" t="str">
            <v>Szklarska</v>
          </cell>
        </row>
        <row r="658">
          <cell r="H658" t="str">
            <v>Szpitalna</v>
          </cell>
        </row>
        <row r="659">
          <cell r="H659" t="str">
            <v>Sztabowa</v>
          </cell>
        </row>
        <row r="660">
          <cell r="H660" t="str">
            <v>Szymanowskiego</v>
          </cell>
        </row>
        <row r="661">
          <cell r="H661" t="str">
            <v>Ściegiennego</v>
          </cell>
        </row>
        <row r="662">
          <cell r="H662" t="str">
            <v>Ślężna</v>
          </cell>
        </row>
        <row r="663">
          <cell r="H663" t="str">
            <v>Ślężoujście</v>
          </cell>
        </row>
        <row r="664">
          <cell r="H664" t="str">
            <v>Śniadeckich</v>
          </cell>
        </row>
        <row r="665">
          <cell r="H665" t="str">
            <v>Śniegockiego</v>
          </cell>
        </row>
        <row r="666">
          <cell r="H666" t="str">
            <v>Średzka</v>
          </cell>
        </row>
        <row r="667">
          <cell r="H667" t="str">
            <v>Środkowa</v>
          </cell>
        </row>
        <row r="668">
          <cell r="H668" t="str">
            <v>Śrutowa</v>
          </cell>
        </row>
        <row r="669">
          <cell r="H669" t="str">
            <v>Świątnicka</v>
          </cell>
        </row>
        <row r="670">
          <cell r="H670" t="str">
            <v>Świdnicka</v>
          </cell>
        </row>
        <row r="671">
          <cell r="H671" t="str">
            <v>Świdnicka\Mennicza</v>
          </cell>
        </row>
        <row r="672">
          <cell r="H672" t="str">
            <v>Świdnicka\Of.Oświęcimskich</v>
          </cell>
        </row>
        <row r="673">
          <cell r="H673" t="str">
            <v>Świebodzka</v>
          </cell>
        </row>
        <row r="674">
          <cell r="H674" t="str">
            <v>Świeradowska</v>
          </cell>
        </row>
        <row r="675">
          <cell r="H675" t="str">
            <v>Świeża</v>
          </cell>
        </row>
        <row r="676">
          <cell r="H676" t="str">
            <v>Świętochowskiego</v>
          </cell>
        </row>
        <row r="677">
          <cell r="H677" t="str">
            <v>Świętokrzyska</v>
          </cell>
        </row>
        <row r="678">
          <cell r="H678" t="str">
            <v>Świstackiego</v>
          </cell>
        </row>
        <row r="679">
          <cell r="H679" t="str">
            <v>Tarnobrzeska</v>
          </cell>
        </row>
        <row r="680">
          <cell r="H680" t="str">
            <v>Tarnogajska</v>
          </cell>
        </row>
        <row r="681">
          <cell r="H681" t="str">
            <v>Tatarska</v>
          </cell>
        </row>
        <row r="682">
          <cell r="H682" t="str">
            <v>Tczewska</v>
          </cell>
        </row>
        <row r="683">
          <cell r="H683" t="str">
            <v>Terenowa</v>
          </cell>
        </row>
        <row r="684">
          <cell r="H684" t="str">
            <v>Tęczowa</v>
          </cell>
        </row>
        <row r="685">
          <cell r="H685" t="str">
            <v>Tkacka</v>
          </cell>
        </row>
        <row r="686">
          <cell r="H686" t="str">
            <v>Tomasza Biskupa I</v>
          </cell>
        </row>
        <row r="687">
          <cell r="H687" t="str">
            <v>Tomaszowska</v>
          </cell>
        </row>
        <row r="688">
          <cell r="H688" t="str">
            <v>Tomaszowska, Łódzka, Przestrzenna, Wesoła</v>
          </cell>
        </row>
        <row r="689">
          <cell r="H689" t="str">
            <v>Torfowa</v>
          </cell>
        </row>
        <row r="690">
          <cell r="H690" t="str">
            <v>Toruńska</v>
          </cell>
        </row>
        <row r="691">
          <cell r="H691" t="str">
            <v>Towarowa</v>
          </cell>
        </row>
        <row r="692">
          <cell r="H692" t="str">
            <v>Tramwajowa</v>
          </cell>
        </row>
        <row r="693">
          <cell r="H693" t="str">
            <v>Traugutta</v>
          </cell>
        </row>
        <row r="694">
          <cell r="H694" t="str">
            <v>Trawowa</v>
          </cell>
        </row>
        <row r="695">
          <cell r="H695" t="str">
            <v>Trzebnicka</v>
          </cell>
        </row>
        <row r="696">
          <cell r="H696" t="str">
            <v>Trzebowiańska</v>
          </cell>
        </row>
        <row r="697">
          <cell r="H697" t="str">
            <v>Trzmielowicka</v>
          </cell>
        </row>
        <row r="698">
          <cell r="H698" t="str">
            <v>Tuwima</v>
          </cell>
        </row>
        <row r="699">
          <cell r="H699" t="str">
            <v>Tylna</v>
          </cell>
        </row>
        <row r="700">
          <cell r="H700" t="str">
            <v>Tymiankowa</v>
          </cell>
        </row>
        <row r="701">
          <cell r="H701" t="str">
            <v>Tyska</v>
          </cell>
        </row>
        <row r="702">
          <cell r="H702" t="str">
            <v>Ujejskiego</v>
          </cell>
        </row>
        <row r="703">
          <cell r="H703" t="str">
            <v>Ukraińska</v>
          </cell>
        </row>
        <row r="704">
          <cell r="H704" t="str">
            <v>Ukryta</v>
          </cell>
        </row>
        <row r="705">
          <cell r="H705" t="str">
            <v>Ulanowskiego</v>
          </cell>
        </row>
        <row r="706">
          <cell r="H706" t="str">
            <v>Uniwersytecka</v>
          </cell>
        </row>
        <row r="707">
          <cell r="H707" t="str">
            <v>Uniwersytecki Pl.</v>
          </cell>
        </row>
        <row r="708">
          <cell r="H708" t="str">
            <v>Urbańskiego</v>
          </cell>
        </row>
        <row r="709">
          <cell r="H709" t="str">
            <v>Ustronie</v>
          </cell>
        </row>
        <row r="710">
          <cell r="H710" t="str">
            <v>Waflowa</v>
          </cell>
        </row>
        <row r="711">
          <cell r="H711" t="str">
            <v>Wagonowa</v>
          </cell>
        </row>
        <row r="712">
          <cell r="H712" t="str">
            <v>Walecznych</v>
          </cell>
        </row>
        <row r="713">
          <cell r="H713" t="str">
            <v>Walecznych\Prusa</v>
          </cell>
        </row>
        <row r="714">
          <cell r="H714" t="str">
            <v>Walecznych\Prusa\Reja</v>
          </cell>
        </row>
        <row r="715">
          <cell r="H715" t="str">
            <v>Walecznych\Reja</v>
          </cell>
        </row>
        <row r="716">
          <cell r="H716" t="str">
            <v>Wałbrzyska</v>
          </cell>
        </row>
        <row r="717">
          <cell r="H717" t="str">
            <v>Wandy</v>
          </cell>
        </row>
        <row r="718">
          <cell r="H718" t="str">
            <v>Wapienna</v>
          </cell>
        </row>
        <row r="719">
          <cell r="H719" t="str">
            <v>Wapienna\Św.Jerzego</v>
          </cell>
        </row>
        <row r="720">
          <cell r="H720" t="str">
            <v>Warszawska</v>
          </cell>
        </row>
        <row r="721">
          <cell r="H721" t="str">
            <v>Waryńskiego</v>
          </cell>
        </row>
        <row r="722">
          <cell r="H722" t="str">
            <v>Wawrzyniaka</v>
          </cell>
        </row>
        <row r="723">
          <cell r="H723" t="str">
            <v>Wąska</v>
          </cell>
        </row>
        <row r="724">
          <cell r="H724" t="str">
            <v>Wejherowska</v>
          </cell>
        </row>
        <row r="725">
          <cell r="H725" t="str">
            <v>Wełniana</v>
          </cell>
        </row>
        <row r="726">
          <cell r="H726" t="str">
            <v>Wesoła</v>
          </cell>
        </row>
        <row r="727">
          <cell r="H727" t="str">
            <v>Wesołowskiego</v>
          </cell>
        </row>
        <row r="728">
          <cell r="H728" t="str">
            <v>Westerplatte</v>
          </cell>
        </row>
        <row r="729">
          <cell r="H729" t="str">
            <v>Wędkarzy</v>
          </cell>
        </row>
        <row r="730">
          <cell r="H730" t="str">
            <v>Węgierska</v>
          </cell>
        </row>
        <row r="731">
          <cell r="H731" t="str">
            <v>Węgoborska</v>
          </cell>
        </row>
        <row r="732">
          <cell r="H732" t="str">
            <v>Widna</v>
          </cell>
        </row>
        <row r="733">
          <cell r="H733" t="str">
            <v>Widok</v>
          </cell>
        </row>
        <row r="734">
          <cell r="H734" t="str">
            <v>Wieczorna</v>
          </cell>
        </row>
        <row r="735">
          <cell r="H735" t="str">
            <v>Wieczorna 22-Południowa</v>
          </cell>
        </row>
        <row r="736">
          <cell r="H736" t="str">
            <v>Wieczysta</v>
          </cell>
        </row>
        <row r="737">
          <cell r="H737" t="str">
            <v>Wieczysta\Widna</v>
          </cell>
        </row>
        <row r="738">
          <cell r="H738" t="str">
            <v>Wiejska</v>
          </cell>
        </row>
        <row r="739">
          <cell r="H739" t="str">
            <v>Wielka</v>
          </cell>
        </row>
        <row r="740">
          <cell r="H740" t="str">
            <v>Wielkopolska</v>
          </cell>
        </row>
        <row r="741">
          <cell r="H741" t="str">
            <v>Wieniawskiego</v>
          </cell>
        </row>
        <row r="742">
          <cell r="H742" t="str">
            <v>Wierzbowa</v>
          </cell>
        </row>
        <row r="743">
          <cell r="H743" t="str">
            <v>Wieśniacza</v>
          </cell>
        </row>
        <row r="744">
          <cell r="H744" t="str">
            <v>Wietnamska</v>
          </cell>
        </row>
        <row r="745">
          <cell r="H745" t="str">
            <v>Więckowskiego</v>
          </cell>
        </row>
        <row r="746">
          <cell r="H746" t="str">
            <v>Więckowskiego\Kościuszki</v>
          </cell>
        </row>
        <row r="747">
          <cell r="H747" t="str">
            <v>Więzienna</v>
          </cell>
        </row>
        <row r="748">
          <cell r="H748" t="str">
            <v>Wilcza</v>
          </cell>
        </row>
        <row r="749">
          <cell r="H749" t="str">
            <v>Wileńska</v>
          </cell>
        </row>
        <row r="750">
          <cell r="H750" t="str">
            <v>Wilgowa</v>
          </cell>
        </row>
        <row r="751">
          <cell r="H751" t="str">
            <v>Wilkszyńska</v>
          </cell>
        </row>
        <row r="752">
          <cell r="H752" t="str">
            <v>Wincentego Św.</v>
          </cell>
        </row>
        <row r="753">
          <cell r="H753" t="str">
            <v>Wiosenna</v>
          </cell>
        </row>
        <row r="754">
          <cell r="H754" t="str">
            <v>Wiśniowa Al.</v>
          </cell>
        </row>
        <row r="755">
          <cell r="H755" t="str">
            <v>Wita Stwosza</v>
          </cell>
        </row>
        <row r="756">
          <cell r="H756" t="str">
            <v>Witelona</v>
          </cell>
        </row>
        <row r="757">
          <cell r="H757" t="str">
            <v>Wittiga</v>
          </cell>
        </row>
        <row r="758">
          <cell r="H758" t="str">
            <v>Włodarska</v>
          </cell>
        </row>
        <row r="759">
          <cell r="H759" t="str">
            <v>Włodkowica</v>
          </cell>
        </row>
        <row r="760">
          <cell r="H760" t="str">
            <v>Włościańska</v>
          </cell>
        </row>
        <row r="761">
          <cell r="H761" t="str">
            <v>Wojrowicka</v>
          </cell>
        </row>
        <row r="762">
          <cell r="H762" t="str">
            <v>Wojtkiewicza</v>
          </cell>
        </row>
        <row r="763">
          <cell r="H763" t="str">
            <v>Wolbromska</v>
          </cell>
        </row>
        <row r="764">
          <cell r="H764" t="str">
            <v>Wolności Pl.</v>
          </cell>
        </row>
        <row r="765">
          <cell r="H765" t="str">
            <v>Wolska</v>
          </cell>
        </row>
        <row r="766">
          <cell r="H766" t="str">
            <v>Worcella</v>
          </cell>
        </row>
        <row r="767">
          <cell r="H767" t="str">
            <v>Wrocławczyka</v>
          </cell>
        </row>
        <row r="768">
          <cell r="H768" t="str">
            <v>Wrońskiego</v>
          </cell>
        </row>
        <row r="769">
          <cell r="H769" t="str">
            <v>Wróblewskiego</v>
          </cell>
        </row>
        <row r="770">
          <cell r="H770" t="str">
            <v>Wschowska</v>
          </cell>
        </row>
        <row r="771">
          <cell r="H771" t="str">
            <v>Wyboista</v>
          </cell>
        </row>
        <row r="772">
          <cell r="H772" t="str">
            <v>Wygodna</v>
          </cell>
        </row>
        <row r="773">
          <cell r="H773" t="str">
            <v>Wysłoucha</v>
          </cell>
        </row>
        <row r="774">
          <cell r="H774" t="str">
            <v>Wysockiego</v>
          </cell>
        </row>
        <row r="775">
          <cell r="H775" t="str">
            <v>Wysoka</v>
          </cell>
        </row>
        <row r="776">
          <cell r="H776" t="str">
            <v>Wyspa Słodowa</v>
          </cell>
        </row>
        <row r="777">
          <cell r="H777" t="str">
            <v>Wyspiańskiego Wybrzeże</v>
          </cell>
        </row>
        <row r="778">
          <cell r="H778" t="str">
            <v>Wyszyńskiego</v>
          </cell>
        </row>
        <row r="779">
          <cell r="H779" t="str">
            <v>Wyszyńskiego - parking</v>
          </cell>
        </row>
        <row r="780">
          <cell r="H780" t="str">
            <v>Wyzwolenia Pl.</v>
          </cell>
        </row>
        <row r="781">
          <cell r="H781" t="str">
            <v>Zabrodzka</v>
          </cell>
        </row>
        <row r="782">
          <cell r="H782" t="str">
            <v>Zachodnia</v>
          </cell>
        </row>
        <row r="783">
          <cell r="H783" t="str">
            <v>Zagrodnicza</v>
          </cell>
        </row>
        <row r="784">
          <cell r="H784" t="str">
            <v>Zajączkowska</v>
          </cell>
        </row>
        <row r="785">
          <cell r="H785" t="str">
            <v>Zakładowa</v>
          </cell>
        </row>
        <row r="786">
          <cell r="H786" t="str">
            <v>Zaolziańska</v>
          </cell>
        </row>
        <row r="787">
          <cell r="H787" t="str">
            <v>Zaporoska</v>
          </cell>
        </row>
        <row r="788">
          <cell r="H788" t="str">
            <v>Zatorska</v>
          </cell>
        </row>
        <row r="789">
          <cell r="H789" t="str">
            <v>Zaułek Rogoziński</v>
          </cell>
        </row>
        <row r="790">
          <cell r="H790" t="str">
            <v>Zawierciańska</v>
          </cell>
        </row>
        <row r="791">
          <cell r="H791" t="str">
            <v>Ząbkowicka</v>
          </cell>
        </row>
        <row r="792">
          <cell r="H792" t="str">
            <v>Zduńska</v>
          </cell>
        </row>
        <row r="793">
          <cell r="H793" t="str">
            <v>Zegadłowicza</v>
          </cell>
        </row>
        <row r="794">
          <cell r="H794" t="str">
            <v>Zegadłowicza\Kraszewskiego</v>
          </cell>
        </row>
        <row r="795">
          <cell r="H795" t="str">
            <v>Zelwerowicza</v>
          </cell>
        </row>
        <row r="796">
          <cell r="H796" t="str">
            <v>Zgodna</v>
          </cell>
        </row>
        <row r="797">
          <cell r="H797" t="str">
            <v>Zgody Pl.</v>
          </cell>
        </row>
        <row r="798">
          <cell r="H798" t="str">
            <v>Zielińskiego</v>
          </cell>
        </row>
        <row r="799">
          <cell r="H799" t="str">
            <v>Zielińskiego\Piłsudskiego</v>
          </cell>
        </row>
        <row r="800">
          <cell r="H800" t="str">
            <v>Zielonogórska</v>
          </cell>
        </row>
        <row r="801">
          <cell r="H801" t="str">
            <v>Ziemniaczana</v>
          </cell>
        </row>
        <row r="802">
          <cell r="H802" t="str">
            <v>Ziębicka</v>
          </cell>
        </row>
        <row r="803">
          <cell r="H803" t="str">
            <v>Złotnicka</v>
          </cell>
        </row>
        <row r="804">
          <cell r="H804" t="str">
            <v>Złotnicka\Wielkopolska 16</v>
          </cell>
        </row>
        <row r="805">
          <cell r="H805" t="str">
            <v>Złotostocka</v>
          </cell>
        </row>
        <row r="806">
          <cell r="H806" t="str">
            <v>Zwycięska</v>
          </cell>
        </row>
        <row r="807">
          <cell r="H807" t="str">
            <v>Zyndrama</v>
          </cell>
        </row>
        <row r="808">
          <cell r="H808" t="str">
            <v>Żagańska</v>
          </cell>
        </row>
        <row r="809">
          <cell r="H809" t="str">
            <v>Żegiestowska</v>
          </cell>
        </row>
        <row r="810">
          <cell r="H810" t="str">
            <v>Żeglarska</v>
          </cell>
        </row>
        <row r="811">
          <cell r="H811" t="str">
            <v>Żelazna</v>
          </cell>
        </row>
        <row r="812">
          <cell r="H812" t="str">
            <v>Żernicka</v>
          </cell>
        </row>
        <row r="813">
          <cell r="H813" t="str">
            <v>Żeromskiego</v>
          </cell>
        </row>
        <row r="814">
          <cell r="H814" t="str">
            <v>Żiżki</v>
          </cell>
        </row>
        <row r="815">
          <cell r="H815" t="str">
            <v>Żmichowskiej</v>
          </cell>
        </row>
        <row r="816">
          <cell r="H816" t="str">
            <v>Żmigrodzka</v>
          </cell>
        </row>
        <row r="817">
          <cell r="H817" t="str">
            <v>Żołnierska</v>
          </cell>
        </row>
        <row r="818">
          <cell r="H818" t="str">
            <v>Żwirowa</v>
          </cell>
        </row>
        <row r="819">
          <cell r="H819" t="str">
            <v>Żytnia</v>
          </cell>
        </row>
        <row r="820">
          <cell r="H820" t="str">
            <v>Żywiecka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PI PROJEKT"/>
      <sheetName val="Programy PROJEKT"/>
      <sheetName val="Arkusz1"/>
    </sheetNames>
    <sheetDataSet>
      <sheetData sheetId="0"/>
      <sheetData sheetId="1">
        <row r="565">
          <cell r="X565">
            <v>0</v>
          </cell>
          <cell r="Y565">
            <v>0</v>
          </cell>
          <cell r="AA565">
            <v>0</v>
          </cell>
          <cell r="AB565">
            <v>0</v>
          </cell>
        </row>
        <row r="578">
          <cell r="AA578">
            <v>0</v>
          </cell>
          <cell r="AB578">
            <v>0</v>
          </cell>
          <cell r="AD578">
            <v>0</v>
          </cell>
          <cell r="AE578">
            <v>0</v>
          </cell>
        </row>
        <row r="598">
          <cell r="AA598">
            <v>0</v>
          </cell>
          <cell r="AB598">
            <v>0</v>
          </cell>
          <cell r="AD598">
            <v>0</v>
          </cell>
          <cell r="AE598">
            <v>0</v>
          </cell>
        </row>
        <row r="616">
          <cell r="AD616">
            <v>0</v>
          </cell>
          <cell r="AE61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555"/>
  <sheetViews>
    <sheetView tabSelected="1" zoomScaleSheetLayoutView="100" workbookViewId="0">
      <pane xSplit="13" ySplit="5" topLeftCell="N6" activePane="bottomRight" state="frozen"/>
      <selection pane="topRight" activeCell="O1" sqref="O1"/>
      <selection pane="bottomLeft" activeCell="A6" sqref="A6"/>
      <selection pane="bottomRight" activeCell="AF9" sqref="AF9"/>
    </sheetView>
  </sheetViews>
  <sheetFormatPr defaultColWidth="9" defaultRowHeight="17.25" customHeight="1"/>
  <cols>
    <col min="1" max="1" width="7.125" style="26" customWidth="1"/>
    <col min="2" max="2" width="38.375" style="26" customWidth="1"/>
    <col min="3" max="3" width="10.125" style="26" customWidth="1"/>
    <col min="4" max="4" width="8.875" style="26" customWidth="1"/>
    <col min="5" max="5" width="10.125" style="26" hidden="1" customWidth="1"/>
    <col min="6" max="6" width="9" style="26" customWidth="1"/>
    <col min="7" max="8" width="9" style="26" hidden="1" customWidth="1"/>
    <col min="9" max="9" width="9" style="26" customWidth="1"/>
    <col min="10" max="13" width="9" style="26" hidden="1" customWidth="1"/>
    <col min="14" max="14" width="9" style="26" customWidth="1"/>
    <col min="15" max="17" width="9" style="26"/>
    <col min="18" max="18" width="9" style="26" hidden="1" customWidth="1"/>
    <col min="19" max="24" width="9" style="26" customWidth="1"/>
    <col min="25" max="25" width="8.25" style="26" customWidth="1"/>
    <col min="26" max="29" width="9" style="26" customWidth="1"/>
    <col min="30" max="30" width="9" style="26" hidden="1" customWidth="1"/>
    <col min="31" max="31" width="4.875" style="26" customWidth="1"/>
    <col min="32" max="32" width="5.25" style="26" customWidth="1"/>
    <col min="33" max="33" width="5" style="26" customWidth="1"/>
    <col min="34" max="34" width="5.125" style="26" customWidth="1"/>
    <col min="35" max="35" width="4.875" style="26" customWidth="1"/>
    <col min="36" max="16384" width="9" style="26"/>
  </cols>
  <sheetData>
    <row r="1" spans="1:248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ht="17.25" customHeight="1">
      <c r="A2" s="132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2.25" customHeight="1">
      <c r="A3" s="3" t="s">
        <v>1</v>
      </c>
      <c r="B3" s="3" t="s">
        <v>2</v>
      </c>
      <c r="C3" s="3" t="s">
        <v>3</v>
      </c>
      <c r="D3" s="3" t="s">
        <v>4</v>
      </c>
      <c r="E3" s="137" t="s">
        <v>317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9"/>
      <c r="AD3" s="5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25.15" customHeight="1">
      <c r="A4" s="6"/>
      <c r="B4" s="6"/>
      <c r="C4" s="6"/>
      <c r="D4" s="6"/>
      <c r="E4" s="7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>
        <v>2014</v>
      </c>
      <c r="K4" s="4">
        <v>2015</v>
      </c>
      <c r="L4" s="4">
        <v>2016</v>
      </c>
      <c r="M4" s="4">
        <v>2017</v>
      </c>
      <c r="N4" s="4">
        <v>2018</v>
      </c>
      <c r="O4" s="4">
        <v>2019</v>
      </c>
      <c r="P4" s="4">
        <v>2020</v>
      </c>
      <c r="Q4" s="4">
        <v>2021</v>
      </c>
      <c r="R4" s="4" t="s">
        <v>10</v>
      </c>
      <c r="S4" s="4">
        <v>2022</v>
      </c>
      <c r="T4" s="4">
        <v>2023</v>
      </c>
      <c r="U4" s="4">
        <v>2024</v>
      </c>
      <c r="V4" s="4">
        <v>2025</v>
      </c>
      <c r="W4" s="4">
        <v>2026</v>
      </c>
      <c r="X4" s="4">
        <v>2027</v>
      </c>
      <c r="Y4" s="4">
        <v>2028</v>
      </c>
      <c r="Z4" s="4">
        <v>2029</v>
      </c>
      <c r="AA4" s="4">
        <v>2030</v>
      </c>
      <c r="AB4" s="4">
        <v>2031</v>
      </c>
      <c r="AC4" s="4">
        <v>2032</v>
      </c>
      <c r="AD4" s="4" t="s">
        <v>11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ht="21.75" customHeight="1">
      <c r="A5" s="8" t="s">
        <v>12</v>
      </c>
      <c r="B5" s="8" t="s">
        <v>13</v>
      </c>
      <c r="C5" s="8" t="s">
        <v>14</v>
      </c>
      <c r="D5" s="8" t="s">
        <v>15</v>
      </c>
      <c r="E5" s="7"/>
      <c r="F5" s="8" t="s">
        <v>16</v>
      </c>
      <c r="G5" s="8"/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 t="s">
        <v>26</v>
      </c>
      <c r="S5" s="8" t="s">
        <v>318</v>
      </c>
      <c r="T5" s="8" t="s">
        <v>319</v>
      </c>
      <c r="U5" s="8" t="s">
        <v>320</v>
      </c>
      <c r="V5" s="8" t="s">
        <v>321</v>
      </c>
      <c r="W5" s="8" t="s">
        <v>322</v>
      </c>
      <c r="X5" s="8" t="s">
        <v>323</v>
      </c>
      <c r="Y5" s="8" t="s">
        <v>324</v>
      </c>
      <c r="Z5" s="8" t="s">
        <v>325</v>
      </c>
      <c r="AA5" s="8" t="s">
        <v>326</v>
      </c>
      <c r="AB5" s="8" t="s">
        <v>327</v>
      </c>
      <c r="AC5" s="8" t="s">
        <v>328</v>
      </c>
      <c r="AD5" s="8" t="s">
        <v>329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ht="21.75" customHeight="1">
      <c r="A6" s="24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9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</row>
    <row r="7" spans="1:248" ht="33" customHeight="1">
      <c r="A7" s="25">
        <v>1</v>
      </c>
      <c r="B7" s="28" t="s">
        <v>28</v>
      </c>
      <c r="C7" s="29" t="s">
        <v>237</v>
      </c>
      <c r="D7" s="30" t="s">
        <v>29</v>
      </c>
      <c r="E7" s="31">
        <f>F8</f>
        <v>272902.89600000001</v>
      </c>
      <c r="F7" s="32">
        <f>F8+F9</f>
        <v>273370.89600000001</v>
      </c>
      <c r="G7" s="32">
        <f>G8+G9</f>
        <v>75377.472999999998</v>
      </c>
      <c r="H7" s="32">
        <f>H8+H9</f>
        <v>88290.877999999997</v>
      </c>
      <c r="I7" s="33">
        <f t="shared" ref="I7:I21" si="0">SUM(K7:O7)</f>
        <v>81882.72099999999</v>
      </c>
      <c r="J7" s="32">
        <f t="shared" ref="J7:M7" si="1">J8+J9</f>
        <v>12913.405000000001</v>
      </c>
      <c r="K7" s="32">
        <f t="shared" si="1"/>
        <v>13837.707</v>
      </c>
      <c r="L7" s="32">
        <f t="shared" si="1"/>
        <v>15928.945</v>
      </c>
      <c r="M7" s="32">
        <f t="shared" si="1"/>
        <v>16590.965</v>
      </c>
      <c r="N7" s="32">
        <f>N8+N9</f>
        <v>15717.103999999999</v>
      </c>
      <c r="O7" s="32">
        <f t="shared" ref="O7:S7" si="2">O8+O9</f>
        <v>19808</v>
      </c>
      <c r="P7" s="32">
        <f t="shared" si="2"/>
        <v>17538.254000000001</v>
      </c>
      <c r="Q7" s="32">
        <f t="shared" si="2"/>
        <v>17995.272000000001</v>
      </c>
      <c r="R7" s="32">
        <v>67663.771000000008</v>
      </c>
      <c r="S7" s="32">
        <f t="shared" si="2"/>
        <v>18131.212</v>
      </c>
      <c r="T7" s="32">
        <f t="shared" ref="T7" si="3">T8+T9</f>
        <v>17932.559000000001</v>
      </c>
      <c r="U7" s="32">
        <f t="shared" ref="U7" si="4">U8+U9</f>
        <v>6320</v>
      </c>
      <c r="V7" s="32">
        <f t="shared" ref="V7" si="5">V8+V9</f>
        <v>6320</v>
      </c>
      <c r="W7" s="32">
        <f t="shared" ref="W7" si="6">W8+W9</f>
        <v>6320</v>
      </c>
      <c r="X7" s="32">
        <f t="shared" ref="X7" si="7">X8+X9</f>
        <v>6320</v>
      </c>
      <c r="Y7" s="32">
        <f t="shared" ref="Y7" si="8">Y8+Y9</f>
        <v>6320</v>
      </c>
      <c r="Z7" s="32">
        <f t="shared" ref="Z7" si="9">Z8+Z9</f>
        <v>0</v>
      </c>
      <c r="AA7" s="32">
        <f t="shared" ref="AA7" si="10">AA8+AA9</f>
        <v>0</v>
      </c>
      <c r="AB7" s="32">
        <f t="shared" ref="AB7" si="11">AB8+AB9</f>
        <v>0</v>
      </c>
      <c r="AC7" s="32">
        <f t="shared" ref="AC7" si="12">AC8+AC9</f>
        <v>0</v>
      </c>
      <c r="AD7" s="32">
        <f>P7+Q7+R7</f>
        <v>103197.29700000001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</row>
    <row r="8" spans="1:248" ht="17.25" customHeight="1">
      <c r="A8" s="34"/>
      <c r="B8" s="13" t="s">
        <v>30</v>
      </c>
      <c r="C8" s="35"/>
      <c r="D8" s="36"/>
      <c r="E8" s="37"/>
      <c r="F8" s="38">
        <f>H8+I8+AD8</f>
        <v>272902.89600000001</v>
      </c>
      <c r="G8" s="39">
        <v>74909.472999999998</v>
      </c>
      <c r="H8" s="38">
        <v>87822.877999999997</v>
      </c>
      <c r="I8" s="38">
        <f t="shared" si="0"/>
        <v>81882.72099999999</v>
      </c>
      <c r="J8" s="38">
        <v>12913.405000000001</v>
      </c>
      <c r="K8" s="38">
        <v>13837.707</v>
      </c>
      <c r="L8" s="38">
        <v>15928.945</v>
      </c>
      <c r="M8" s="40">
        <v>16590.965</v>
      </c>
      <c r="N8" s="93">
        <v>15717.103999999999</v>
      </c>
      <c r="O8" s="94">
        <v>19808</v>
      </c>
      <c r="P8" s="94">
        <v>17538.254000000001</v>
      </c>
      <c r="Q8" s="94">
        <v>17995.272000000001</v>
      </c>
      <c r="R8" s="94">
        <v>67663.771000000008</v>
      </c>
      <c r="S8" s="94">
        <v>18131.212</v>
      </c>
      <c r="T8" s="38">
        <v>17932.559000000001</v>
      </c>
      <c r="U8" s="38">
        <v>6320</v>
      </c>
      <c r="V8" s="38">
        <v>6320</v>
      </c>
      <c r="W8" s="38">
        <v>6320</v>
      </c>
      <c r="X8" s="38">
        <v>6320</v>
      </c>
      <c r="Y8" s="38">
        <v>6320</v>
      </c>
      <c r="Z8" s="38">
        <v>0</v>
      </c>
      <c r="AA8" s="38">
        <v>0</v>
      </c>
      <c r="AB8" s="38">
        <v>0</v>
      </c>
      <c r="AC8" s="38">
        <v>0</v>
      </c>
      <c r="AD8" s="38">
        <f>P8+Q8+R8</f>
        <v>103197.29700000001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</row>
    <row r="9" spans="1:248" ht="17.25" customHeight="1">
      <c r="A9" s="34"/>
      <c r="B9" s="13" t="s">
        <v>31</v>
      </c>
      <c r="C9" s="35"/>
      <c r="D9" s="36"/>
      <c r="E9" s="37"/>
      <c r="F9" s="38">
        <f>H9+I9+AD9</f>
        <v>468</v>
      </c>
      <c r="G9" s="39">
        <v>468</v>
      </c>
      <c r="H9" s="38">
        <v>468</v>
      </c>
      <c r="I9" s="38">
        <f t="shared" si="0"/>
        <v>0</v>
      </c>
      <c r="J9" s="38">
        <v>0</v>
      </c>
      <c r="K9" s="38">
        <v>0</v>
      </c>
      <c r="L9" s="38">
        <v>0</v>
      </c>
      <c r="M9" s="38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</row>
    <row r="10" spans="1:248" ht="21.75" customHeight="1">
      <c r="A10" s="25">
        <v>2</v>
      </c>
      <c r="B10" s="28" t="s">
        <v>32</v>
      </c>
      <c r="C10" s="29" t="s">
        <v>33</v>
      </c>
      <c r="D10" s="30" t="s">
        <v>34</v>
      </c>
      <c r="E10" s="31">
        <f>F11</f>
        <v>55686.024999999994</v>
      </c>
      <c r="F10" s="32">
        <f>F11</f>
        <v>55686.024999999994</v>
      </c>
      <c r="G10" s="33">
        <f>G11</f>
        <v>0</v>
      </c>
      <c r="H10" s="33">
        <f>H11</f>
        <v>0</v>
      </c>
      <c r="I10" s="33">
        <f t="shared" si="0"/>
        <v>35686.024999999994</v>
      </c>
      <c r="J10" s="32">
        <f t="shared" ref="J10:M10" si="13">J11</f>
        <v>0</v>
      </c>
      <c r="K10" s="32">
        <f t="shared" si="13"/>
        <v>4123</v>
      </c>
      <c r="L10" s="32">
        <f t="shared" si="13"/>
        <v>7228.6719999999996</v>
      </c>
      <c r="M10" s="32">
        <f t="shared" si="13"/>
        <v>5118.3530000000001</v>
      </c>
      <c r="N10" s="95">
        <f>N11</f>
        <v>8236</v>
      </c>
      <c r="O10" s="95">
        <f t="shared" ref="O10:Q10" si="14">O11</f>
        <v>10980</v>
      </c>
      <c r="P10" s="95">
        <f t="shared" si="14"/>
        <v>5000</v>
      </c>
      <c r="Q10" s="95">
        <f t="shared" si="14"/>
        <v>5000</v>
      </c>
      <c r="R10" s="95">
        <v>10000</v>
      </c>
      <c r="S10" s="95">
        <f>S11</f>
        <v>5000</v>
      </c>
      <c r="T10" s="95">
        <f t="shared" ref="T10:AC10" si="15">T11</f>
        <v>5000</v>
      </c>
      <c r="U10" s="95">
        <f t="shared" si="15"/>
        <v>0</v>
      </c>
      <c r="V10" s="95">
        <f t="shared" si="15"/>
        <v>0</v>
      </c>
      <c r="W10" s="95">
        <f t="shared" si="15"/>
        <v>0</v>
      </c>
      <c r="X10" s="95">
        <f t="shared" si="15"/>
        <v>0</v>
      </c>
      <c r="Y10" s="95">
        <f t="shared" si="15"/>
        <v>0</v>
      </c>
      <c r="Z10" s="95">
        <f t="shared" si="15"/>
        <v>0</v>
      </c>
      <c r="AA10" s="95">
        <f t="shared" si="15"/>
        <v>0</v>
      </c>
      <c r="AB10" s="95">
        <f t="shared" si="15"/>
        <v>0</v>
      </c>
      <c r="AC10" s="95">
        <f t="shared" si="15"/>
        <v>0</v>
      </c>
      <c r="AD10" s="32">
        <f t="shared" ref="AD10:AD46" si="16">P10+Q10+R10</f>
        <v>20000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1"/>
      <c r="IN10" s="41"/>
    </row>
    <row r="11" spans="1:248" ht="17.25" customHeight="1">
      <c r="A11" s="34"/>
      <c r="B11" s="13" t="s">
        <v>30</v>
      </c>
      <c r="C11" s="35"/>
      <c r="D11" s="36"/>
      <c r="E11" s="37"/>
      <c r="F11" s="38">
        <f>H11+I11+AD11</f>
        <v>55686.024999999994</v>
      </c>
      <c r="G11" s="39">
        <v>0</v>
      </c>
      <c r="H11" s="38">
        <v>0</v>
      </c>
      <c r="I11" s="38">
        <f t="shared" si="0"/>
        <v>35686.024999999994</v>
      </c>
      <c r="J11" s="38">
        <v>0</v>
      </c>
      <c r="K11" s="38">
        <v>4123</v>
      </c>
      <c r="L11" s="38">
        <v>7228.6719999999996</v>
      </c>
      <c r="M11" s="40">
        <v>5118.3530000000001</v>
      </c>
      <c r="N11" s="94">
        <v>8236</v>
      </c>
      <c r="O11" s="93">
        <v>10980</v>
      </c>
      <c r="P11" s="94">
        <v>5000</v>
      </c>
      <c r="Q11" s="94">
        <v>5000</v>
      </c>
      <c r="R11" s="94">
        <v>10000</v>
      </c>
      <c r="S11" s="94">
        <v>5000</v>
      </c>
      <c r="T11" s="38">
        <v>5000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2">
        <f t="shared" si="16"/>
        <v>20000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2"/>
      <c r="IN11" s="13"/>
    </row>
    <row r="12" spans="1:248" ht="21.75" customHeight="1">
      <c r="A12" s="25">
        <v>3</v>
      </c>
      <c r="B12" s="42" t="s">
        <v>36</v>
      </c>
      <c r="C12" s="29" t="s">
        <v>285</v>
      </c>
      <c r="D12" s="30" t="s">
        <v>37</v>
      </c>
      <c r="E12" s="31">
        <f>F13</f>
        <v>100469.34300000001</v>
      </c>
      <c r="F12" s="32">
        <f>F13+F14+F15</f>
        <v>140474.58200000002</v>
      </c>
      <c r="G12" s="33">
        <v>10035.272000000001</v>
      </c>
      <c r="H12" s="33">
        <v>13016.748000000001</v>
      </c>
      <c r="I12" s="33">
        <f t="shared" si="0"/>
        <v>86854.421999999991</v>
      </c>
      <c r="J12" s="32">
        <f>J13+J14+J15</f>
        <v>2981.4760000000001</v>
      </c>
      <c r="K12" s="32">
        <f t="shared" ref="K12:M12" si="17">K13+K14+K15</f>
        <v>20401.936000000002</v>
      </c>
      <c r="L12" s="32">
        <f t="shared" si="17"/>
        <v>21257.946</v>
      </c>
      <c r="M12" s="32">
        <f t="shared" si="17"/>
        <v>5187</v>
      </c>
      <c r="N12" s="95">
        <f>N13+N14+N15</f>
        <v>20802.86</v>
      </c>
      <c r="O12" s="95">
        <f t="shared" ref="O12:Q12" si="18">O13+O14+O15</f>
        <v>19204.68</v>
      </c>
      <c r="P12" s="95">
        <f t="shared" si="18"/>
        <v>16509.411999999997</v>
      </c>
      <c r="Q12" s="95">
        <f t="shared" si="18"/>
        <v>10394</v>
      </c>
      <c r="R12" s="95">
        <v>13700</v>
      </c>
      <c r="S12" s="95">
        <f>S13+S14+S15</f>
        <v>8700</v>
      </c>
      <c r="T12" s="95">
        <f t="shared" ref="T12:AC12" si="19">T13+T14+T15</f>
        <v>5000</v>
      </c>
      <c r="U12" s="95">
        <f t="shared" si="19"/>
        <v>0</v>
      </c>
      <c r="V12" s="95">
        <f t="shared" si="19"/>
        <v>0</v>
      </c>
      <c r="W12" s="95">
        <f t="shared" si="19"/>
        <v>0</v>
      </c>
      <c r="X12" s="95">
        <f t="shared" si="19"/>
        <v>0</v>
      </c>
      <c r="Y12" s="95">
        <f t="shared" si="19"/>
        <v>0</v>
      </c>
      <c r="Z12" s="95">
        <f t="shared" si="19"/>
        <v>0</v>
      </c>
      <c r="AA12" s="95">
        <f t="shared" si="19"/>
        <v>0</v>
      </c>
      <c r="AB12" s="95">
        <f t="shared" si="19"/>
        <v>0</v>
      </c>
      <c r="AC12" s="95">
        <f t="shared" si="19"/>
        <v>0</v>
      </c>
      <c r="AD12" s="32">
        <f t="shared" si="16"/>
        <v>40603.411999999997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</row>
    <row r="13" spans="1:248" ht="17.25" customHeight="1">
      <c r="A13" s="34"/>
      <c r="B13" s="43" t="s">
        <v>30</v>
      </c>
      <c r="C13" s="35"/>
      <c r="D13" s="36"/>
      <c r="E13" s="37"/>
      <c r="F13" s="38">
        <f>H13+I13+AD13</f>
        <v>100469.34300000001</v>
      </c>
      <c r="G13" s="39">
        <v>10035.272000000001</v>
      </c>
      <c r="H13" s="38">
        <v>13016.748000000001</v>
      </c>
      <c r="I13" s="38">
        <f t="shared" si="0"/>
        <v>58130.515000000007</v>
      </c>
      <c r="J13" s="38">
        <v>2981.4760000000001</v>
      </c>
      <c r="K13" s="38">
        <v>16452.983</v>
      </c>
      <c r="L13" s="38">
        <v>21257.946</v>
      </c>
      <c r="M13" s="38">
        <v>3690</v>
      </c>
      <c r="N13" s="97">
        <v>7687.3360000000002</v>
      </c>
      <c r="O13" s="97">
        <v>9042.25</v>
      </c>
      <c r="P13" s="97">
        <v>5398.08</v>
      </c>
      <c r="Q13" s="97">
        <v>10224</v>
      </c>
      <c r="R13" s="94">
        <v>13700</v>
      </c>
      <c r="S13" s="94">
        <v>8700</v>
      </c>
      <c r="T13" s="38">
        <v>5000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2">
        <f t="shared" si="16"/>
        <v>29322.080000000002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</row>
    <row r="14" spans="1:248" ht="17.25" customHeight="1">
      <c r="A14" s="34"/>
      <c r="B14" s="43" t="s">
        <v>38</v>
      </c>
      <c r="C14" s="35"/>
      <c r="D14" s="36"/>
      <c r="E14" s="37"/>
      <c r="F14" s="38">
        <f>H14+I14+AD14</f>
        <v>36056.285999999993</v>
      </c>
      <c r="G14" s="39">
        <v>0</v>
      </c>
      <c r="H14" s="38">
        <v>0</v>
      </c>
      <c r="I14" s="38">
        <f t="shared" si="0"/>
        <v>24774.953999999998</v>
      </c>
      <c r="J14" s="38">
        <v>0</v>
      </c>
      <c r="K14" s="38">
        <v>0</v>
      </c>
      <c r="L14" s="38">
        <v>0</v>
      </c>
      <c r="M14" s="38">
        <v>1497</v>
      </c>
      <c r="N14" s="94">
        <v>13115.523999999999</v>
      </c>
      <c r="O14" s="93">
        <v>10162.43</v>
      </c>
      <c r="P14" s="93">
        <v>11111.331999999999</v>
      </c>
      <c r="Q14" s="93">
        <v>170</v>
      </c>
      <c r="R14" s="94">
        <v>0</v>
      </c>
      <c r="S14" s="94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2">
        <f t="shared" si="16"/>
        <v>11281.331999999999</v>
      </c>
    </row>
    <row r="15" spans="1:248" ht="17.25" customHeight="1">
      <c r="A15" s="34"/>
      <c r="B15" s="43" t="s">
        <v>31</v>
      </c>
      <c r="C15" s="35"/>
      <c r="D15" s="36"/>
      <c r="E15" s="37"/>
      <c r="F15" s="38">
        <f>H15+I15+AD15</f>
        <v>3948.953</v>
      </c>
      <c r="G15" s="39">
        <v>0</v>
      </c>
      <c r="H15" s="38">
        <v>0</v>
      </c>
      <c r="I15" s="38">
        <f t="shared" si="0"/>
        <v>3948.953</v>
      </c>
      <c r="J15" s="38">
        <v>0</v>
      </c>
      <c r="K15" s="38">
        <v>3948.953</v>
      </c>
      <c r="L15" s="38">
        <v>0</v>
      </c>
      <c r="M15" s="38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2">
        <f t="shared" si="16"/>
        <v>0</v>
      </c>
    </row>
    <row r="16" spans="1:248" ht="27.75" customHeight="1">
      <c r="A16" s="25">
        <v>4</v>
      </c>
      <c r="B16" s="42" t="s">
        <v>41</v>
      </c>
      <c r="C16" s="47" t="s">
        <v>40</v>
      </c>
      <c r="D16" s="30" t="s">
        <v>50</v>
      </c>
      <c r="E16" s="31">
        <f>F17</f>
        <v>48690.90600000001</v>
      </c>
      <c r="F16" s="32">
        <f>F17+F18</f>
        <v>100987.72600000001</v>
      </c>
      <c r="G16" s="32">
        <f>G17+G18</f>
        <v>3384.7449999999999</v>
      </c>
      <c r="H16" s="32">
        <f>H17+H18</f>
        <v>3386.152</v>
      </c>
      <c r="I16" s="33">
        <f t="shared" si="0"/>
        <v>97601.574000000022</v>
      </c>
      <c r="J16" s="32">
        <f t="shared" ref="J16:M16" si="20">J17+J18</f>
        <v>1.407</v>
      </c>
      <c r="K16" s="32">
        <f t="shared" si="20"/>
        <v>196.642</v>
      </c>
      <c r="L16" s="32">
        <f t="shared" si="20"/>
        <v>361.30099999999999</v>
      </c>
      <c r="M16" s="32">
        <f t="shared" si="20"/>
        <v>3896.3130000000001</v>
      </c>
      <c r="N16" s="95">
        <f>N17+N18</f>
        <v>30229.599000000002</v>
      </c>
      <c r="O16" s="95">
        <f t="shared" ref="O16:S16" si="21">O17+O18</f>
        <v>62917.719000000012</v>
      </c>
      <c r="P16" s="95">
        <f t="shared" si="21"/>
        <v>0</v>
      </c>
      <c r="Q16" s="95">
        <f t="shared" si="21"/>
        <v>0</v>
      </c>
      <c r="R16" s="95">
        <v>0</v>
      </c>
      <c r="S16" s="95">
        <f t="shared" si="21"/>
        <v>0</v>
      </c>
      <c r="T16" s="95">
        <f t="shared" ref="T16" si="22">T17+T18</f>
        <v>0</v>
      </c>
      <c r="U16" s="95">
        <f t="shared" ref="U16" si="23">U17+U18</f>
        <v>0</v>
      </c>
      <c r="V16" s="95">
        <f t="shared" ref="V16" si="24">V17+V18</f>
        <v>0</v>
      </c>
      <c r="W16" s="95">
        <f t="shared" ref="W16" si="25">W17+W18</f>
        <v>0</v>
      </c>
      <c r="X16" s="95">
        <f t="shared" ref="X16" si="26">X17+X18</f>
        <v>0</v>
      </c>
      <c r="Y16" s="95">
        <f t="shared" ref="Y16" si="27">Y17+Y18</f>
        <v>0</v>
      </c>
      <c r="Z16" s="95">
        <f t="shared" ref="Z16" si="28">Z17+Z18</f>
        <v>0</v>
      </c>
      <c r="AA16" s="95">
        <f t="shared" ref="AA16" si="29">AA17+AA18</f>
        <v>0</v>
      </c>
      <c r="AB16" s="95">
        <f t="shared" ref="AB16" si="30">AB17+AB18</f>
        <v>0</v>
      </c>
      <c r="AC16" s="95">
        <f t="shared" ref="AC16" si="31">AC17+AC18</f>
        <v>0</v>
      </c>
      <c r="AD16" s="32">
        <f t="shared" si="16"/>
        <v>0</v>
      </c>
    </row>
    <row r="17" spans="1:248" ht="17.25" customHeight="1">
      <c r="A17" s="45"/>
      <c r="B17" s="13" t="s">
        <v>30</v>
      </c>
      <c r="C17" s="115"/>
      <c r="D17" s="115"/>
      <c r="E17" s="116"/>
      <c r="F17" s="93">
        <f>H17+I17+AD17</f>
        <v>48690.90600000001</v>
      </c>
      <c r="G17" s="93">
        <v>3384.7449999999999</v>
      </c>
      <c r="H17" s="93">
        <v>3386.152</v>
      </c>
      <c r="I17" s="93">
        <f t="shared" si="0"/>
        <v>45304.754000000008</v>
      </c>
      <c r="J17" s="93">
        <v>1.407</v>
      </c>
      <c r="K17" s="93">
        <v>196.642</v>
      </c>
      <c r="L17" s="93">
        <v>140.30099999999999</v>
      </c>
      <c r="M17" s="93">
        <v>1576.69</v>
      </c>
      <c r="N17" s="93">
        <v>10509.867000000002</v>
      </c>
      <c r="O17" s="93">
        <v>32881.254000000008</v>
      </c>
      <c r="P17" s="93">
        <v>0</v>
      </c>
      <c r="Q17" s="93">
        <v>0</v>
      </c>
      <c r="R17" s="94">
        <v>0</v>
      </c>
      <c r="S17" s="94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2">
        <f t="shared" si="16"/>
        <v>0</v>
      </c>
    </row>
    <row r="18" spans="1:248" ht="17.25" customHeight="1">
      <c r="A18" s="45"/>
      <c r="B18" s="43" t="s">
        <v>38</v>
      </c>
      <c r="C18" s="36"/>
      <c r="D18" s="36"/>
      <c r="E18" s="37"/>
      <c r="F18" s="38">
        <f>H18+I18+AD18</f>
        <v>52296.82</v>
      </c>
      <c r="G18" s="38">
        <v>0</v>
      </c>
      <c r="H18" s="38">
        <v>0</v>
      </c>
      <c r="I18" s="38">
        <f t="shared" si="0"/>
        <v>52296.82</v>
      </c>
      <c r="J18" s="38">
        <v>0</v>
      </c>
      <c r="K18" s="38">
        <v>0</v>
      </c>
      <c r="L18" s="38">
        <v>221</v>
      </c>
      <c r="M18" s="38">
        <v>2319.623</v>
      </c>
      <c r="N18" s="94">
        <v>19719.732</v>
      </c>
      <c r="O18" s="94">
        <v>30036.465</v>
      </c>
      <c r="P18" s="94">
        <v>0</v>
      </c>
      <c r="Q18" s="94">
        <v>0</v>
      </c>
      <c r="R18" s="94">
        <v>0</v>
      </c>
      <c r="S18" s="94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2">
        <f t="shared" si="16"/>
        <v>0</v>
      </c>
    </row>
    <row r="19" spans="1:248" ht="27" customHeight="1">
      <c r="A19" s="25">
        <v>5</v>
      </c>
      <c r="B19" s="42" t="s">
        <v>43</v>
      </c>
      <c r="C19" s="47" t="s">
        <v>40</v>
      </c>
      <c r="D19" s="30" t="s">
        <v>44</v>
      </c>
      <c r="E19" s="31">
        <f>F20</f>
        <v>15979.791999999999</v>
      </c>
      <c r="F19" s="32">
        <f>F20+F21</f>
        <v>16984.792999999998</v>
      </c>
      <c r="G19" s="32">
        <f>G20+G21</f>
        <v>9228.3989999999994</v>
      </c>
      <c r="H19" s="32">
        <f>H20+H21</f>
        <v>10852.898999999999</v>
      </c>
      <c r="I19" s="33">
        <f t="shared" si="0"/>
        <v>6131.8940000000002</v>
      </c>
      <c r="J19" s="32">
        <f t="shared" ref="J19:M19" si="32">J20+J21</f>
        <v>1624.5</v>
      </c>
      <c r="K19" s="32">
        <f t="shared" si="32"/>
        <v>1368.3779999999999</v>
      </c>
      <c r="L19" s="32">
        <f t="shared" si="32"/>
        <v>700.73400000000004</v>
      </c>
      <c r="M19" s="32">
        <f t="shared" si="32"/>
        <v>700.73399999999992</v>
      </c>
      <c r="N19" s="95">
        <f>N20+N21</f>
        <v>3362.0479999999998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f t="shared" ref="Z19:AC19" si="33">Z20+Z21</f>
        <v>0</v>
      </c>
      <c r="AA19" s="32">
        <f t="shared" si="33"/>
        <v>0</v>
      </c>
      <c r="AB19" s="32">
        <f t="shared" si="33"/>
        <v>0</v>
      </c>
      <c r="AC19" s="32">
        <f t="shared" si="33"/>
        <v>0</v>
      </c>
      <c r="AD19" s="32">
        <f t="shared" si="16"/>
        <v>0</v>
      </c>
    </row>
    <row r="20" spans="1:248" ht="17.25" customHeight="1">
      <c r="A20" s="45"/>
      <c r="B20" s="13" t="s">
        <v>30</v>
      </c>
      <c r="C20" s="35"/>
      <c r="D20" s="36"/>
      <c r="E20" s="37"/>
      <c r="F20" s="38">
        <f>H20+I20+AD20</f>
        <v>15979.791999999999</v>
      </c>
      <c r="G20" s="39">
        <v>8223.3979999999992</v>
      </c>
      <c r="H20" s="38">
        <v>9847.8979999999992</v>
      </c>
      <c r="I20" s="38">
        <f t="shared" si="0"/>
        <v>6131.8940000000002</v>
      </c>
      <c r="J20" s="38">
        <v>1624.5</v>
      </c>
      <c r="K20" s="38">
        <v>1368.3779999999999</v>
      </c>
      <c r="L20" s="38">
        <v>700.73400000000004</v>
      </c>
      <c r="M20" s="40">
        <f>1100.734-400</f>
        <v>700.73399999999992</v>
      </c>
      <c r="N20" s="94">
        <v>3362.0479999999998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2">
        <f t="shared" si="16"/>
        <v>0</v>
      </c>
    </row>
    <row r="21" spans="1:248" ht="17.25" customHeight="1">
      <c r="A21" s="45"/>
      <c r="B21" s="13" t="s">
        <v>31</v>
      </c>
      <c r="C21" s="35"/>
      <c r="D21" s="36"/>
      <c r="E21" s="37"/>
      <c r="F21" s="38">
        <f>H21+I21+AD21</f>
        <v>1005.001</v>
      </c>
      <c r="G21" s="39">
        <v>1005.001</v>
      </c>
      <c r="H21" s="38">
        <v>1005.001</v>
      </c>
      <c r="I21" s="38">
        <f t="shared" si="0"/>
        <v>0</v>
      </c>
      <c r="J21" s="38">
        <v>0</v>
      </c>
      <c r="K21" s="38">
        <v>0</v>
      </c>
      <c r="L21" s="38">
        <v>0</v>
      </c>
      <c r="M21" s="38">
        <v>0</v>
      </c>
      <c r="N21" s="94">
        <v>0</v>
      </c>
      <c r="O21" s="94">
        <v>0</v>
      </c>
      <c r="P21" s="94"/>
      <c r="Q21" s="94"/>
      <c r="R21" s="94">
        <v>0</v>
      </c>
      <c r="S21" s="94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2">
        <f t="shared" si="16"/>
        <v>0</v>
      </c>
    </row>
    <row r="22" spans="1:248" ht="40.5" customHeight="1">
      <c r="A22" s="25">
        <v>6</v>
      </c>
      <c r="B22" s="28" t="s">
        <v>46</v>
      </c>
      <c r="C22" s="29" t="s">
        <v>287</v>
      </c>
      <c r="D22" s="30" t="s">
        <v>78</v>
      </c>
      <c r="E22" s="31">
        <f>F23</f>
        <v>16981.483</v>
      </c>
      <c r="F22" s="32">
        <f>F23+F24</f>
        <v>17051.936000000002</v>
      </c>
      <c r="G22" s="32">
        <f>G23+G24</f>
        <v>0</v>
      </c>
      <c r="H22" s="32">
        <f>H23+H24</f>
        <v>0</v>
      </c>
      <c r="I22" s="33">
        <f t="shared" ref="I22:I36" si="34">SUM(K22:O22)</f>
        <v>8354.4069999999992</v>
      </c>
      <c r="J22" s="32">
        <f t="shared" ref="J22:M22" si="35">J23+J24</f>
        <v>0</v>
      </c>
      <c r="K22" s="32">
        <f t="shared" si="35"/>
        <v>0</v>
      </c>
      <c r="L22" s="32">
        <f t="shared" si="35"/>
        <v>160</v>
      </c>
      <c r="M22" s="32">
        <f t="shared" si="35"/>
        <v>164.95</v>
      </c>
      <c r="N22" s="95">
        <f>N23+N24</f>
        <v>280.28699999999992</v>
      </c>
      <c r="O22" s="95">
        <f t="shared" ref="O22:S22" si="36">O23+O24</f>
        <v>7749.17</v>
      </c>
      <c r="P22" s="95">
        <f t="shared" si="36"/>
        <v>8697.5290000000005</v>
      </c>
      <c r="Q22" s="95">
        <f t="shared" si="36"/>
        <v>0</v>
      </c>
      <c r="R22" s="95">
        <v>0</v>
      </c>
      <c r="S22" s="95">
        <f t="shared" si="36"/>
        <v>0</v>
      </c>
      <c r="T22" s="95">
        <f t="shared" ref="T22" si="37">T23+T24</f>
        <v>0</v>
      </c>
      <c r="U22" s="95">
        <f t="shared" ref="U22" si="38">U23+U24</f>
        <v>0</v>
      </c>
      <c r="V22" s="95">
        <f t="shared" ref="V22" si="39">V23+V24</f>
        <v>0</v>
      </c>
      <c r="W22" s="95">
        <f t="shared" ref="W22" si="40">W23+W24</f>
        <v>0</v>
      </c>
      <c r="X22" s="95">
        <f t="shared" ref="X22" si="41">X23+X24</f>
        <v>0</v>
      </c>
      <c r="Y22" s="95">
        <f t="shared" ref="Y22" si="42">Y23+Y24</f>
        <v>0</v>
      </c>
      <c r="Z22" s="95">
        <f t="shared" ref="Z22" si="43">Z23+Z24</f>
        <v>0</v>
      </c>
      <c r="AA22" s="95">
        <f t="shared" ref="AA22" si="44">AA23+AA24</f>
        <v>0</v>
      </c>
      <c r="AB22" s="95">
        <f t="shared" ref="AB22" si="45">AB23+AB24</f>
        <v>0</v>
      </c>
      <c r="AC22" s="95">
        <f t="shared" ref="AC22" si="46">AC23+AC24</f>
        <v>0</v>
      </c>
      <c r="AD22" s="32">
        <f t="shared" si="16"/>
        <v>8697.5290000000005</v>
      </c>
    </row>
    <row r="23" spans="1:248" ht="17.25" customHeight="1">
      <c r="A23" s="34"/>
      <c r="B23" s="13" t="s">
        <v>30</v>
      </c>
      <c r="C23" s="38"/>
      <c r="D23" s="38"/>
      <c r="E23" s="38"/>
      <c r="F23" s="38">
        <f>H23+I23+AD23</f>
        <v>16981.483</v>
      </c>
      <c r="G23" s="38">
        <v>0</v>
      </c>
      <c r="H23" s="38">
        <v>0</v>
      </c>
      <c r="I23" s="38">
        <f t="shared" si="34"/>
        <v>8283.9539999999997</v>
      </c>
      <c r="J23" s="16">
        <v>0</v>
      </c>
      <c r="K23" s="16">
        <v>0</v>
      </c>
      <c r="L23" s="17">
        <v>160</v>
      </c>
      <c r="M23" s="17">
        <f>130.73-36.9+0.667</f>
        <v>94.496999999999986</v>
      </c>
      <c r="N23" s="98">
        <v>280.28699999999992</v>
      </c>
      <c r="O23" s="100">
        <v>7749.17</v>
      </c>
      <c r="P23" s="99">
        <v>8697.5290000000005</v>
      </c>
      <c r="Q23" s="99">
        <v>0</v>
      </c>
      <c r="R23" s="94">
        <v>0</v>
      </c>
      <c r="S23" s="9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32">
        <f t="shared" si="16"/>
        <v>8697.5290000000005</v>
      </c>
    </row>
    <row r="24" spans="1:248" ht="17.25" customHeight="1">
      <c r="A24" s="34"/>
      <c r="B24" s="43" t="s">
        <v>38</v>
      </c>
      <c r="C24" s="38"/>
      <c r="D24" s="38"/>
      <c r="E24" s="38"/>
      <c r="F24" s="38">
        <f>H24+I24+AD24</f>
        <v>70.453000000000003</v>
      </c>
      <c r="G24" s="38">
        <v>0</v>
      </c>
      <c r="H24" s="38">
        <v>0</v>
      </c>
      <c r="I24" s="38">
        <f t="shared" si="34"/>
        <v>70.453000000000003</v>
      </c>
      <c r="J24" s="16">
        <v>0</v>
      </c>
      <c r="K24" s="16">
        <v>0</v>
      </c>
      <c r="L24" s="49">
        <v>0</v>
      </c>
      <c r="M24" s="17">
        <v>70.453000000000003</v>
      </c>
      <c r="N24" s="98">
        <v>0</v>
      </c>
      <c r="O24" s="98">
        <v>0</v>
      </c>
      <c r="P24" s="99">
        <v>0</v>
      </c>
      <c r="Q24" s="99">
        <v>0</v>
      </c>
      <c r="R24" s="94">
        <v>0</v>
      </c>
      <c r="S24" s="9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32">
        <f t="shared" si="16"/>
        <v>0</v>
      </c>
    </row>
    <row r="25" spans="1:248" ht="21.75" customHeight="1">
      <c r="A25" s="25">
        <v>7</v>
      </c>
      <c r="B25" s="28" t="s">
        <v>49</v>
      </c>
      <c r="C25" s="47" t="s">
        <v>40</v>
      </c>
      <c r="D25" s="30" t="s">
        <v>50</v>
      </c>
      <c r="E25" s="31">
        <f>F26</f>
        <v>177602.68100000001</v>
      </c>
      <c r="F25" s="32">
        <f>F26+F27</f>
        <v>410992.70299999998</v>
      </c>
      <c r="G25" s="32">
        <f>G26+G27</f>
        <v>13491.543</v>
      </c>
      <c r="H25" s="32">
        <f>H26+H27</f>
        <v>19671.785</v>
      </c>
      <c r="I25" s="33">
        <f t="shared" si="34"/>
        <v>186394.36499999999</v>
      </c>
      <c r="J25" s="32">
        <f t="shared" ref="J25:M25" si="47">J26+J27</f>
        <v>6180.2420000000002</v>
      </c>
      <c r="K25" s="32">
        <f t="shared" si="47"/>
        <v>1316.508</v>
      </c>
      <c r="L25" s="32">
        <f t="shared" si="47"/>
        <v>101.178</v>
      </c>
      <c r="M25" s="32">
        <f t="shared" si="47"/>
        <v>87656.599999999991</v>
      </c>
      <c r="N25" s="95">
        <f>N26+N27</f>
        <v>81851.95199999999</v>
      </c>
      <c r="O25" s="95">
        <f t="shared" ref="O25:R25" si="48">O26+O27</f>
        <v>15468.127</v>
      </c>
      <c r="P25" s="95">
        <f t="shared" si="48"/>
        <v>0</v>
      </c>
      <c r="Q25" s="95">
        <f t="shared" si="48"/>
        <v>77998.633000000002</v>
      </c>
      <c r="R25" s="95">
        <f t="shared" si="48"/>
        <v>126927.92000000001</v>
      </c>
      <c r="S25" s="95">
        <f t="shared" ref="S25" si="49">S26+S27</f>
        <v>85320.92</v>
      </c>
      <c r="T25" s="95">
        <f t="shared" ref="T25" si="50">T26+T27</f>
        <v>41607</v>
      </c>
      <c r="U25" s="95">
        <f t="shared" ref="U25" si="51">U26+U27</f>
        <v>0</v>
      </c>
      <c r="V25" s="95">
        <f t="shared" ref="V25" si="52">V26+V27</f>
        <v>0</v>
      </c>
      <c r="W25" s="95">
        <f t="shared" ref="W25" si="53">W26+W27</f>
        <v>0</v>
      </c>
      <c r="X25" s="95">
        <f t="shared" ref="X25" si="54">X26+X27</f>
        <v>0</v>
      </c>
      <c r="Y25" s="95">
        <f t="shared" ref="Y25" si="55">Y26+Y27</f>
        <v>0</v>
      </c>
      <c r="Z25" s="95">
        <f t="shared" ref="Z25" si="56">Z26+Z27</f>
        <v>0</v>
      </c>
      <c r="AA25" s="95">
        <f t="shared" ref="AA25" si="57">AA26+AA27</f>
        <v>0</v>
      </c>
      <c r="AB25" s="95">
        <f t="shared" ref="AB25" si="58">AB26+AB27</f>
        <v>0</v>
      </c>
      <c r="AC25" s="95">
        <f t="shared" ref="AC25" si="59">AC26+AC27</f>
        <v>0</v>
      </c>
      <c r="AD25" s="32">
        <f t="shared" si="16"/>
        <v>204926.55300000001</v>
      </c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1:248" ht="17.25" customHeight="1">
      <c r="A26" s="45"/>
      <c r="B26" s="13" t="s">
        <v>30</v>
      </c>
      <c r="C26" s="36"/>
      <c r="D26" s="36"/>
      <c r="E26" s="37"/>
      <c r="F26" s="38">
        <f>H26+I26+AD26</f>
        <v>177602.68100000001</v>
      </c>
      <c r="G26" s="38">
        <v>13491.543</v>
      </c>
      <c r="H26" s="38">
        <v>19671.785</v>
      </c>
      <c r="I26" s="38">
        <f t="shared" si="34"/>
        <v>49032.688999999998</v>
      </c>
      <c r="J26" s="38">
        <v>6180.2420000000002</v>
      </c>
      <c r="K26" s="38">
        <v>1316.508</v>
      </c>
      <c r="L26" s="38">
        <v>101.178</v>
      </c>
      <c r="M26" s="40">
        <f>13133.567+99.489</f>
        <v>13233.055999999999</v>
      </c>
      <c r="N26" s="93">
        <f>20765.009+3025.017</f>
        <v>23790.025999999998</v>
      </c>
      <c r="O26" s="93">
        <f>4898.25+5693.671</f>
        <v>10591.921</v>
      </c>
      <c r="P26" s="93">
        <v>0</v>
      </c>
      <c r="Q26" s="93">
        <v>36292.281000000003</v>
      </c>
      <c r="R26" s="93">
        <v>72605.926000000007</v>
      </c>
      <c r="S26" s="93">
        <v>63642.548000000003</v>
      </c>
      <c r="T26" s="93">
        <v>8963.3780000000006</v>
      </c>
      <c r="U26" s="93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2">
        <f t="shared" si="16"/>
        <v>108898.20700000001</v>
      </c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1:248" ht="17.25" customHeight="1">
      <c r="A27" s="45"/>
      <c r="B27" s="43" t="s">
        <v>38</v>
      </c>
      <c r="C27" s="36"/>
      <c r="D27" s="36"/>
      <c r="E27" s="37"/>
      <c r="F27" s="38">
        <f>H27+I27+AD27</f>
        <v>233390.022</v>
      </c>
      <c r="G27" s="38">
        <v>0</v>
      </c>
      <c r="H27" s="38">
        <v>0</v>
      </c>
      <c r="I27" s="38">
        <f t="shared" si="34"/>
        <v>137361.67600000001</v>
      </c>
      <c r="J27" s="38">
        <v>0</v>
      </c>
      <c r="K27" s="38">
        <v>0</v>
      </c>
      <c r="L27" s="38">
        <v>0</v>
      </c>
      <c r="M27" s="38">
        <v>74423.543999999994</v>
      </c>
      <c r="N27" s="93">
        <v>58061.925999999999</v>
      </c>
      <c r="O27" s="93">
        <v>4876.2060000000001</v>
      </c>
      <c r="P27" s="93">
        <v>0</v>
      </c>
      <c r="Q27" s="93">
        <v>41706.351999999999</v>
      </c>
      <c r="R27" s="93">
        <v>54321.993999999999</v>
      </c>
      <c r="S27" s="93">
        <v>21678.371999999999</v>
      </c>
      <c r="T27" s="93">
        <v>32643.621999999999</v>
      </c>
      <c r="U27" s="93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2">
        <f t="shared" si="16"/>
        <v>96028.34599999999</v>
      </c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1:248" ht="21.75" customHeight="1">
      <c r="A28" s="25">
        <v>8</v>
      </c>
      <c r="B28" s="42" t="s">
        <v>51</v>
      </c>
      <c r="C28" s="29" t="s">
        <v>52</v>
      </c>
      <c r="D28" s="30" t="s">
        <v>53</v>
      </c>
      <c r="E28" s="31">
        <f>F29</f>
        <v>582111.549</v>
      </c>
      <c r="F28" s="32">
        <f>F29+F30</f>
        <v>598333.049</v>
      </c>
      <c r="G28" s="32">
        <f>G29+G30</f>
        <v>169125.05600000001</v>
      </c>
      <c r="H28" s="32">
        <f>H29+H30</f>
        <v>194465.30200000003</v>
      </c>
      <c r="I28" s="33">
        <f t="shared" si="34"/>
        <v>219558.85200000001</v>
      </c>
      <c r="J28" s="32">
        <f t="shared" ref="J28:M28" si="60">J29+J30</f>
        <v>17309.496000000003</v>
      </c>
      <c r="K28" s="32">
        <f t="shared" si="60"/>
        <v>34676.855000000003</v>
      </c>
      <c r="L28" s="32">
        <f t="shared" si="60"/>
        <v>32491.425999999999</v>
      </c>
      <c r="M28" s="32">
        <f t="shared" si="60"/>
        <v>37873.118000000002</v>
      </c>
      <c r="N28" s="95">
        <f>N29+N30</f>
        <v>41415.453000000001</v>
      </c>
      <c r="O28" s="95">
        <f t="shared" ref="O28:S28" si="61">O29+O30</f>
        <v>73102</v>
      </c>
      <c r="P28" s="95">
        <f t="shared" si="61"/>
        <v>48487.894999999997</v>
      </c>
      <c r="Q28" s="95">
        <f t="shared" si="61"/>
        <v>46816</v>
      </c>
      <c r="R28" s="95">
        <v>89005</v>
      </c>
      <c r="S28" s="95">
        <f t="shared" si="61"/>
        <v>25300</v>
      </c>
      <c r="T28" s="95">
        <f t="shared" ref="T28" si="62">T29+T30</f>
        <v>53705</v>
      </c>
      <c r="U28" s="95">
        <f t="shared" ref="U28" si="63">U29+U30</f>
        <v>10000</v>
      </c>
      <c r="V28" s="95">
        <f t="shared" ref="V28" si="64">V29+V30</f>
        <v>0</v>
      </c>
      <c r="W28" s="95">
        <f t="shared" ref="W28" si="65">W29+W30</f>
        <v>0</v>
      </c>
      <c r="X28" s="95">
        <f t="shared" ref="X28" si="66">X29+X30</f>
        <v>0</v>
      </c>
      <c r="Y28" s="95">
        <f t="shared" ref="Y28" si="67">Y29+Y30</f>
        <v>0</v>
      </c>
      <c r="Z28" s="95">
        <f t="shared" ref="Z28" si="68">Z29+Z30</f>
        <v>0</v>
      </c>
      <c r="AA28" s="95">
        <f t="shared" ref="AA28" si="69">AA29+AA30</f>
        <v>0</v>
      </c>
      <c r="AB28" s="95">
        <f t="shared" ref="AB28" si="70">AB29+AB30</f>
        <v>0</v>
      </c>
      <c r="AC28" s="95">
        <f t="shared" ref="AC28" si="71">AC29+AC30</f>
        <v>0</v>
      </c>
      <c r="AD28" s="32">
        <f t="shared" si="16"/>
        <v>184308.89499999999</v>
      </c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2"/>
      <c r="IN28" s="13"/>
    </row>
    <row r="29" spans="1:248" ht="17.25" customHeight="1">
      <c r="A29" s="45"/>
      <c r="B29" s="13" t="s">
        <v>30</v>
      </c>
      <c r="C29" s="35"/>
      <c r="D29" s="36"/>
      <c r="E29" s="37"/>
      <c r="F29" s="38">
        <f>H29+I29+AD29</f>
        <v>582111.549</v>
      </c>
      <c r="G29" s="39">
        <v>169125.05600000001</v>
      </c>
      <c r="H29" s="38">
        <v>186434.55200000003</v>
      </c>
      <c r="I29" s="38">
        <f t="shared" si="34"/>
        <v>211528.10200000001</v>
      </c>
      <c r="J29" s="38">
        <v>17309.496000000003</v>
      </c>
      <c r="K29" s="38">
        <v>34676.855000000003</v>
      </c>
      <c r="L29" s="38">
        <v>25991.425999999999</v>
      </c>
      <c r="M29" s="40">
        <v>36342.368000000002</v>
      </c>
      <c r="N29" s="93">
        <v>41415.453000000001</v>
      </c>
      <c r="O29" s="93">
        <v>73102</v>
      </c>
      <c r="P29" s="93">
        <v>48327.894999999997</v>
      </c>
      <c r="Q29" s="93">
        <v>46816</v>
      </c>
      <c r="R29" s="94">
        <v>89005</v>
      </c>
      <c r="S29" s="93">
        <v>25300</v>
      </c>
      <c r="T29" s="40">
        <v>53705</v>
      </c>
      <c r="U29" s="40">
        <v>10000</v>
      </c>
      <c r="V29" s="40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2">
        <f t="shared" si="16"/>
        <v>184148.89499999999</v>
      </c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ht="17.25" customHeight="1">
      <c r="A30" s="45"/>
      <c r="B30" s="13" t="s">
        <v>31</v>
      </c>
      <c r="C30" s="35"/>
      <c r="D30" s="36"/>
      <c r="E30" s="37"/>
      <c r="F30" s="38">
        <f>H30+I30+AD30</f>
        <v>16221.5</v>
      </c>
      <c r="G30" s="39">
        <v>0</v>
      </c>
      <c r="H30" s="38">
        <v>8030.75</v>
      </c>
      <c r="I30" s="38">
        <f t="shared" si="34"/>
        <v>8030.75</v>
      </c>
      <c r="J30" s="38">
        <v>0</v>
      </c>
      <c r="K30" s="38">
        <v>0</v>
      </c>
      <c r="L30" s="38">
        <v>6500</v>
      </c>
      <c r="M30" s="38">
        <v>1530.75</v>
      </c>
      <c r="N30" s="94">
        <v>0</v>
      </c>
      <c r="O30" s="94">
        <v>0</v>
      </c>
      <c r="P30" s="94">
        <v>160</v>
      </c>
      <c r="Q30" s="94">
        <v>0</v>
      </c>
      <c r="R30" s="94">
        <v>0</v>
      </c>
      <c r="S30" s="94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2">
        <f t="shared" si="16"/>
        <v>160</v>
      </c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ht="21.75" customHeight="1">
      <c r="A31" s="25">
        <v>9</v>
      </c>
      <c r="B31" s="42" t="s">
        <v>55</v>
      </c>
      <c r="C31" s="29" t="s">
        <v>40</v>
      </c>
      <c r="D31" s="50" t="s">
        <v>56</v>
      </c>
      <c r="E31" s="31">
        <f>F32</f>
        <v>23485.834000000003</v>
      </c>
      <c r="F31" s="32">
        <f>F32</f>
        <v>23485.834000000003</v>
      </c>
      <c r="G31" s="33">
        <f>G32</f>
        <v>0</v>
      </c>
      <c r="H31" s="33">
        <f>H32</f>
        <v>23.343</v>
      </c>
      <c r="I31" s="33">
        <f t="shared" si="34"/>
        <v>23462.491000000002</v>
      </c>
      <c r="J31" s="32">
        <f>J32</f>
        <v>23.343</v>
      </c>
      <c r="K31" s="32">
        <f t="shared" ref="K31:M31" si="72">K32</f>
        <v>294.82799999999997</v>
      </c>
      <c r="L31" s="32">
        <f t="shared" si="72"/>
        <v>4510.1790000000001</v>
      </c>
      <c r="M31" s="32">
        <f t="shared" si="72"/>
        <v>5126.9470000000001</v>
      </c>
      <c r="N31" s="95">
        <f>N32</f>
        <v>13530.537</v>
      </c>
      <c r="O31" s="95">
        <f t="shared" ref="O31:Q31" si="73">O32</f>
        <v>0</v>
      </c>
      <c r="P31" s="95">
        <f t="shared" si="73"/>
        <v>0</v>
      </c>
      <c r="Q31" s="95">
        <f t="shared" si="73"/>
        <v>0</v>
      </c>
      <c r="R31" s="95">
        <v>0</v>
      </c>
      <c r="S31" s="95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f t="shared" ref="Z31:AC31" si="74">Z32</f>
        <v>0</v>
      </c>
      <c r="AA31" s="32">
        <f t="shared" si="74"/>
        <v>0</v>
      </c>
      <c r="AB31" s="32">
        <f t="shared" si="74"/>
        <v>0</v>
      </c>
      <c r="AC31" s="32">
        <f t="shared" si="74"/>
        <v>0</v>
      </c>
      <c r="AD31" s="32">
        <f t="shared" si="16"/>
        <v>0</v>
      </c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ht="17.25" customHeight="1">
      <c r="A32" s="45"/>
      <c r="B32" s="13" t="s">
        <v>30</v>
      </c>
      <c r="C32" s="35"/>
      <c r="D32" s="36"/>
      <c r="E32" s="37"/>
      <c r="F32" s="38">
        <f>H32+I32+AD32</f>
        <v>23485.834000000003</v>
      </c>
      <c r="G32" s="39">
        <v>0</v>
      </c>
      <c r="H32" s="38">
        <v>23.343</v>
      </c>
      <c r="I32" s="38">
        <f t="shared" si="34"/>
        <v>23462.491000000002</v>
      </c>
      <c r="J32" s="38">
        <v>23.343</v>
      </c>
      <c r="K32" s="38">
        <v>294.82799999999997</v>
      </c>
      <c r="L32" s="38">
        <v>4510.1790000000001</v>
      </c>
      <c r="M32" s="38">
        <v>5126.9470000000001</v>
      </c>
      <c r="N32" s="94">
        <v>13530.537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2">
        <f t="shared" si="16"/>
        <v>0</v>
      </c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1:248" ht="21.75" customHeight="1">
      <c r="A33" s="25">
        <v>10</v>
      </c>
      <c r="B33" s="28" t="s">
        <v>57</v>
      </c>
      <c r="C33" s="29" t="s">
        <v>58</v>
      </c>
      <c r="D33" s="30" t="s">
        <v>59</v>
      </c>
      <c r="E33" s="31">
        <f>F34</f>
        <v>151134.25599999999</v>
      </c>
      <c r="F33" s="32">
        <f>F34+F35+F36</f>
        <v>179399.25599999999</v>
      </c>
      <c r="G33" s="33">
        <v>136779.25599999999</v>
      </c>
      <c r="H33" s="33">
        <v>139302.25599999999</v>
      </c>
      <c r="I33" s="33">
        <f t="shared" si="34"/>
        <v>20097</v>
      </c>
      <c r="J33" s="32">
        <v>2523</v>
      </c>
      <c r="K33" s="32">
        <v>1850.88</v>
      </c>
      <c r="L33" s="32">
        <v>3505.12</v>
      </c>
      <c r="M33" s="33">
        <f>SUM(M34:M36)</f>
        <v>5830</v>
      </c>
      <c r="N33" s="96">
        <f>N34+N35</f>
        <v>2524</v>
      </c>
      <c r="O33" s="96">
        <f t="shared" ref="O33:Q33" si="75">O34+O35</f>
        <v>6387</v>
      </c>
      <c r="P33" s="96">
        <f t="shared" si="75"/>
        <v>5000</v>
      </c>
      <c r="Q33" s="96">
        <f t="shared" si="75"/>
        <v>5000</v>
      </c>
      <c r="R33" s="96">
        <v>10000</v>
      </c>
      <c r="S33" s="96">
        <f>S34+S35</f>
        <v>5000</v>
      </c>
      <c r="T33" s="33">
        <f t="shared" ref="T33" si="76">T34+T35</f>
        <v>5000</v>
      </c>
      <c r="U33" s="32">
        <f t="shared" ref="U33" si="77">U34+U35</f>
        <v>0</v>
      </c>
      <c r="V33" s="32">
        <f t="shared" ref="V33" si="78">V34+V35</f>
        <v>0</v>
      </c>
      <c r="W33" s="32">
        <v>0</v>
      </c>
      <c r="X33" s="32">
        <v>0</v>
      </c>
      <c r="Y33" s="32">
        <v>0</v>
      </c>
      <c r="Z33" s="32">
        <f t="shared" ref="Z33:AC33" si="79">Z34+Z35+Z36</f>
        <v>0</v>
      </c>
      <c r="AA33" s="32">
        <f t="shared" si="79"/>
        <v>0</v>
      </c>
      <c r="AB33" s="32">
        <f t="shared" si="79"/>
        <v>0</v>
      </c>
      <c r="AC33" s="32">
        <f t="shared" si="79"/>
        <v>0</v>
      </c>
      <c r="AD33" s="32">
        <f t="shared" si="16"/>
        <v>20000</v>
      </c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1:248" ht="17.25" customHeight="1">
      <c r="A34" s="34"/>
      <c r="B34" s="13" t="s">
        <v>30</v>
      </c>
      <c r="C34" s="35"/>
      <c r="D34" s="36"/>
      <c r="E34" s="37"/>
      <c r="F34" s="38">
        <f>H34+I34+AD34</f>
        <v>151134.25599999999</v>
      </c>
      <c r="G34" s="39">
        <v>109122.25599999999</v>
      </c>
      <c r="H34" s="38">
        <v>111645.25599999999</v>
      </c>
      <c r="I34" s="38">
        <f t="shared" si="34"/>
        <v>19489</v>
      </c>
      <c r="J34" s="38">
        <v>2523</v>
      </c>
      <c r="K34" s="38">
        <v>1850.88</v>
      </c>
      <c r="L34" s="38">
        <v>3305.12</v>
      </c>
      <c r="M34" s="38">
        <f>6022-150-450</f>
        <v>5422</v>
      </c>
      <c r="N34" s="94">
        <v>2524</v>
      </c>
      <c r="O34" s="94">
        <v>6387</v>
      </c>
      <c r="P34" s="94">
        <v>5000</v>
      </c>
      <c r="Q34" s="94">
        <v>5000</v>
      </c>
      <c r="R34" s="94">
        <v>10000</v>
      </c>
      <c r="S34" s="94">
        <v>5000</v>
      </c>
      <c r="T34" s="38">
        <v>5000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2">
        <f t="shared" si="16"/>
        <v>20000</v>
      </c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1:248" ht="17.25" customHeight="1">
      <c r="A35" s="34"/>
      <c r="B35" s="13" t="s">
        <v>31</v>
      </c>
      <c r="C35" s="35"/>
      <c r="D35" s="36"/>
      <c r="E35" s="37"/>
      <c r="F35" s="38">
        <f>H35+I35+AD35</f>
        <v>26554</v>
      </c>
      <c r="G35" s="39">
        <v>25946</v>
      </c>
      <c r="H35" s="38">
        <v>25946</v>
      </c>
      <c r="I35" s="38">
        <f t="shared" si="34"/>
        <v>608</v>
      </c>
      <c r="J35" s="38">
        <v>0</v>
      </c>
      <c r="K35" s="38">
        <v>0</v>
      </c>
      <c r="L35" s="38">
        <v>200</v>
      </c>
      <c r="M35" s="38">
        <v>408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2">
        <f t="shared" si="16"/>
        <v>0</v>
      </c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1:248" ht="17.25" customHeight="1">
      <c r="A36" s="34"/>
      <c r="B36" s="13" t="s">
        <v>60</v>
      </c>
      <c r="C36" s="35"/>
      <c r="D36" s="36"/>
      <c r="E36" s="37"/>
      <c r="F36" s="38">
        <f>H36+I36+AD36</f>
        <v>1711</v>
      </c>
      <c r="G36" s="39">
        <v>1711</v>
      </c>
      <c r="H36" s="38">
        <v>1711</v>
      </c>
      <c r="I36" s="38">
        <f t="shared" si="34"/>
        <v>0</v>
      </c>
      <c r="J36" s="38">
        <v>0</v>
      </c>
      <c r="K36" s="38">
        <v>0</v>
      </c>
      <c r="L36" s="38">
        <v>0</v>
      </c>
      <c r="M36" s="38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2">
        <f t="shared" si="16"/>
        <v>0</v>
      </c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1:248" ht="21.75" customHeight="1">
      <c r="A37" s="25">
        <v>11</v>
      </c>
      <c r="B37" s="28" t="s">
        <v>61</v>
      </c>
      <c r="C37" s="29" t="s">
        <v>39</v>
      </c>
      <c r="D37" s="30" t="s">
        <v>62</v>
      </c>
      <c r="E37" s="31">
        <f>F38</f>
        <v>21718.841</v>
      </c>
      <c r="F37" s="32">
        <f>F38+F39+F40</f>
        <v>32807.85</v>
      </c>
      <c r="G37" s="33">
        <v>1821.559</v>
      </c>
      <c r="H37" s="33">
        <v>2072.5590000000002</v>
      </c>
      <c r="I37" s="33">
        <f t="shared" ref="I37:I46" si="80">SUM(K37:O37)</f>
        <v>30735.291000000005</v>
      </c>
      <c r="J37" s="32">
        <v>251</v>
      </c>
      <c r="K37" s="32">
        <v>16635.562000000002</v>
      </c>
      <c r="L37" s="32">
        <v>282.48700000000002</v>
      </c>
      <c r="M37" s="33">
        <f>SUM(M38:M40)</f>
        <v>409.36300000000006</v>
      </c>
      <c r="N37" s="96">
        <f>N38+N39</f>
        <v>13407.879000000001</v>
      </c>
      <c r="O37" s="96">
        <f t="shared" ref="O37:Q37" si="81">O38+O39</f>
        <v>0</v>
      </c>
      <c r="P37" s="96">
        <f t="shared" si="81"/>
        <v>0</v>
      </c>
      <c r="Q37" s="96">
        <f t="shared" si="81"/>
        <v>0</v>
      </c>
      <c r="R37" s="96">
        <v>0</v>
      </c>
      <c r="S37" s="95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f t="shared" ref="Z37:AC37" si="82">Z38+Z39+Z40</f>
        <v>0</v>
      </c>
      <c r="AA37" s="32">
        <f t="shared" si="82"/>
        <v>0</v>
      </c>
      <c r="AB37" s="32">
        <f t="shared" si="82"/>
        <v>0</v>
      </c>
      <c r="AC37" s="32">
        <f t="shared" si="82"/>
        <v>0</v>
      </c>
      <c r="AD37" s="32">
        <f t="shared" si="16"/>
        <v>0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1:248" ht="17.25" customHeight="1">
      <c r="A38" s="34"/>
      <c r="B38" s="13" t="s">
        <v>30</v>
      </c>
      <c r="C38" s="35"/>
      <c r="D38" s="36"/>
      <c r="E38" s="37"/>
      <c r="F38" s="38">
        <f>H38+I38+AD38</f>
        <v>21718.841</v>
      </c>
      <c r="G38" s="39">
        <v>1821.559</v>
      </c>
      <c r="H38" s="38">
        <v>1974.1589999999999</v>
      </c>
      <c r="I38" s="38">
        <f t="shared" si="80"/>
        <v>19744.682000000001</v>
      </c>
      <c r="J38" s="38">
        <v>152.6</v>
      </c>
      <c r="K38" s="38">
        <v>5644.9530000000004</v>
      </c>
      <c r="L38" s="38">
        <v>282.48700000000002</v>
      </c>
      <c r="M38" s="38">
        <f>329.713+79.65</f>
        <v>409.36300000000006</v>
      </c>
      <c r="N38" s="117">
        <v>13407.879000000001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2">
        <f t="shared" si="16"/>
        <v>0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1:248" ht="17.25" customHeight="1">
      <c r="A39" s="34"/>
      <c r="B39" s="13" t="s">
        <v>63</v>
      </c>
      <c r="C39" s="35"/>
      <c r="D39" s="36"/>
      <c r="E39" s="37"/>
      <c r="F39" s="38">
        <f>H39+I39+AD39</f>
        <v>8788.509</v>
      </c>
      <c r="G39" s="39">
        <v>0</v>
      </c>
      <c r="H39" s="38">
        <v>98.4</v>
      </c>
      <c r="I39" s="38">
        <f t="shared" si="80"/>
        <v>8690.1090000000004</v>
      </c>
      <c r="J39" s="38">
        <v>98.4</v>
      </c>
      <c r="K39" s="38">
        <v>8690.1090000000004</v>
      </c>
      <c r="L39" s="38">
        <v>0</v>
      </c>
      <c r="M39" s="38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2">
        <f t="shared" si="16"/>
        <v>0</v>
      </c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</row>
    <row r="40" spans="1:248" ht="17.25" customHeight="1">
      <c r="A40" s="34"/>
      <c r="B40" s="13" t="s">
        <v>64</v>
      </c>
      <c r="C40" s="35"/>
      <c r="D40" s="36"/>
      <c r="E40" s="37"/>
      <c r="F40" s="38">
        <f>H40+I40+AD40</f>
        <v>2300.5</v>
      </c>
      <c r="G40" s="39">
        <v>0</v>
      </c>
      <c r="H40" s="38">
        <v>0</v>
      </c>
      <c r="I40" s="38">
        <f t="shared" si="80"/>
        <v>2300.5</v>
      </c>
      <c r="J40" s="38">
        <v>0</v>
      </c>
      <c r="K40" s="38">
        <v>2300.5</v>
      </c>
      <c r="L40" s="38">
        <v>0</v>
      </c>
      <c r="M40" s="38">
        <v>0</v>
      </c>
      <c r="N40" s="94">
        <v>0</v>
      </c>
      <c r="O40" s="94">
        <v>0</v>
      </c>
      <c r="P40" s="94">
        <v>0</v>
      </c>
      <c r="Q40" s="94">
        <v>0</v>
      </c>
      <c r="R40" s="94">
        <v>0</v>
      </c>
      <c r="S40" s="94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2">
        <f t="shared" si="16"/>
        <v>0</v>
      </c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</row>
    <row r="41" spans="1:248" ht="21.75" customHeight="1">
      <c r="A41" s="25">
        <v>12</v>
      </c>
      <c r="B41" s="46" t="s">
        <v>65</v>
      </c>
      <c r="C41" s="29" t="s">
        <v>66</v>
      </c>
      <c r="D41" s="50" t="s">
        <v>67</v>
      </c>
      <c r="E41" s="31">
        <f>F42</f>
        <v>125123.81299999999</v>
      </c>
      <c r="F41" s="32">
        <f>F42</f>
        <v>125123.81299999999</v>
      </c>
      <c r="G41" s="33">
        <f>G42</f>
        <v>0</v>
      </c>
      <c r="H41" s="33">
        <f>H42</f>
        <v>50</v>
      </c>
      <c r="I41" s="33">
        <f t="shared" si="80"/>
        <v>26623.813000000002</v>
      </c>
      <c r="J41" s="32">
        <f>J42</f>
        <v>50</v>
      </c>
      <c r="K41" s="32">
        <f t="shared" ref="K41:M41" si="83">K42</f>
        <v>4128</v>
      </c>
      <c r="L41" s="32">
        <f t="shared" si="83"/>
        <v>7999.2</v>
      </c>
      <c r="M41" s="32">
        <f t="shared" si="83"/>
        <v>1344.3689999999999</v>
      </c>
      <c r="N41" s="95">
        <f>N42</f>
        <v>2296.7420000000002</v>
      </c>
      <c r="O41" s="95">
        <f t="shared" ref="O41:S41" si="84">O42</f>
        <v>10855.502</v>
      </c>
      <c r="P41" s="95">
        <f t="shared" si="84"/>
        <v>23450</v>
      </c>
      <c r="Q41" s="95">
        <f t="shared" si="84"/>
        <v>25000</v>
      </c>
      <c r="R41" s="95">
        <v>50000</v>
      </c>
      <c r="S41" s="95">
        <f t="shared" si="84"/>
        <v>25000</v>
      </c>
      <c r="T41" s="95">
        <f t="shared" ref="T41" si="85">T42</f>
        <v>25000</v>
      </c>
      <c r="U41" s="95">
        <f t="shared" ref="U41" si="86">U42</f>
        <v>0</v>
      </c>
      <c r="V41" s="95">
        <f t="shared" ref="V41" si="87">V42</f>
        <v>0</v>
      </c>
      <c r="W41" s="95">
        <f t="shared" ref="W41" si="88">W42</f>
        <v>0</v>
      </c>
      <c r="X41" s="95">
        <f t="shared" ref="X41" si="89">X42</f>
        <v>0</v>
      </c>
      <c r="Y41" s="95">
        <f t="shared" ref="Y41" si="90">Y42</f>
        <v>0</v>
      </c>
      <c r="Z41" s="95">
        <f t="shared" ref="Z41" si="91">Z42</f>
        <v>0</v>
      </c>
      <c r="AA41" s="95">
        <f t="shared" ref="AA41" si="92">AA42</f>
        <v>0</v>
      </c>
      <c r="AB41" s="95">
        <f t="shared" ref="AB41" si="93">AB42</f>
        <v>0</v>
      </c>
      <c r="AC41" s="95">
        <f t="shared" ref="AC41" si="94">AC42</f>
        <v>0</v>
      </c>
      <c r="AD41" s="32">
        <f t="shared" si="16"/>
        <v>98450</v>
      </c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</row>
    <row r="42" spans="1:248" ht="17.25" customHeight="1">
      <c r="A42" s="34"/>
      <c r="B42" s="13" t="s">
        <v>30</v>
      </c>
      <c r="C42" s="35"/>
      <c r="D42" s="36"/>
      <c r="E42" s="37"/>
      <c r="F42" s="38">
        <f>H42+I42+AD42</f>
        <v>125123.81299999999</v>
      </c>
      <c r="G42" s="39">
        <v>0</v>
      </c>
      <c r="H42" s="38">
        <v>50</v>
      </c>
      <c r="I42" s="38">
        <f t="shared" si="80"/>
        <v>26623.813000000002</v>
      </c>
      <c r="J42" s="38">
        <v>50</v>
      </c>
      <c r="K42" s="38">
        <v>4128</v>
      </c>
      <c r="L42" s="38">
        <v>7999.2</v>
      </c>
      <c r="M42" s="40">
        <v>1344.3689999999999</v>
      </c>
      <c r="N42" s="94">
        <v>2296.7420000000002</v>
      </c>
      <c r="O42" s="94">
        <v>10855.502</v>
      </c>
      <c r="P42" s="94">
        <v>23450</v>
      </c>
      <c r="Q42" s="94">
        <v>25000</v>
      </c>
      <c r="R42" s="94">
        <v>50000</v>
      </c>
      <c r="S42" s="94">
        <v>25000</v>
      </c>
      <c r="T42" s="38">
        <v>25000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2">
        <f t="shared" si="16"/>
        <v>98450</v>
      </c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</row>
    <row r="43" spans="1:248" ht="21.75" customHeight="1">
      <c r="A43" s="25">
        <v>13</v>
      </c>
      <c r="B43" s="28" t="s">
        <v>68</v>
      </c>
      <c r="C43" s="29" t="s">
        <v>40</v>
      </c>
      <c r="D43" s="30" t="s">
        <v>69</v>
      </c>
      <c r="E43" s="31">
        <f>F44</f>
        <v>9609.5750000000007</v>
      </c>
      <c r="F43" s="32">
        <f>F44+F45+F46</f>
        <v>16289.985000000001</v>
      </c>
      <c r="G43" s="33">
        <v>0</v>
      </c>
      <c r="H43" s="33">
        <v>0</v>
      </c>
      <c r="I43" s="33">
        <f t="shared" si="80"/>
        <v>16289.985000000001</v>
      </c>
      <c r="J43" s="32">
        <f>J44+J45+J46</f>
        <v>0</v>
      </c>
      <c r="K43" s="32">
        <f t="shared" ref="K43:M43" si="95">K44+K45+K46</f>
        <v>0</v>
      </c>
      <c r="L43" s="32">
        <f t="shared" si="95"/>
        <v>6055.3140000000003</v>
      </c>
      <c r="M43" s="32">
        <f t="shared" si="95"/>
        <v>10234.671</v>
      </c>
      <c r="N43" s="95">
        <f>N44+N45</f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f t="shared" ref="Z43:AC43" si="96">Z44+Z45+Z46</f>
        <v>0</v>
      </c>
      <c r="AA43" s="32">
        <f t="shared" si="96"/>
        <v>0</v>
      </c>
      <c r="AB43" s="32">
        <f t="shared" si="96"/>
        <v>0</v>
      </c>
      <c r="AC43" s="32">
        <f t="shared" si="96"/>
        <v>0</v>
      </c>
      <c r="AD43" s="32">
        <f t="shared" si="16"/>
        <v>0</v>
      </c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1"/>
      <c r="IN43" s="41"/>
    </row>
    <row r="44" spans="1:248" ht="17.25" customHeight="1">
      <c r="A44" s="34"/>
      <c r="B44" s="13" t="s">
        <v>30</v>
      </c>
      <c r="C44" s="35"/>
      <c r="D44" s="36"/>
      <c r="E44" s="37"/>
      <c r="F44" s="38">
        <f>H44+I44+AD44</f>
        <v>9609.5750000000007</v>
      </c>
      <c r="G44" s="39">
        <v>0</v>
      </c>
      <c r="H44" s="38">
        <v>0</v>
      </c>
      <c r="I44" s="38">
        <f t="shared" si="80"/>
        <v>9609.5750000000007</v>
      </c>
      <c r="J44" s="38">
        <v>0</v>
      </c>
      <c r="K44" s="38">
        <v>0</v>
      </c>
      <c r="L44" s="38">
        <v>3599.3139999999999</v>
      </c>
      <c r="M44" s="51">
        <f>11414.465-3000-1919.512-484.692</f>
        <v>6010.2610000000004</v>
      </c>
      <c r="N44" s="93">
        <v>0</v>
      </c>
      <c r="O44" s="93">
        <v>0</v>
      </c>
      <c r="P44" s="94">
        <v>0</v>
      </c>
      <c r="Q44" s="94">
        <v>0</v>
      </c>
      <c r="R44" s="94">
        <v>0</v>
      </c>
      <c r="S44" s="94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2">
        <f t="shared" si="16"/>
        <v>0</v>
      </c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2"/>
      <c r="IN44" s="13"/>
    </row>
    <row r="45" spans="1:248" ht="17.25" customHeight="1">
      <c r="A45" s="34"/>
      <c r="B45" s="13" t="s">
        <v>70</v>
      </c>
      <c r="C45" s="35"/>
      <c r="D45" s="36"/>
      <c r="E45" s="37"/>
      <c r="F45" s="38">
        <f>H45+I45+AD45</f>
        <v>3000</v>
      </c>
      <c r="G45" s="39">
        <v>0</v>
      </c>
      <c r="H45" s="38">
        <v>0</v>
      </c>
      <c r="I45" s="38">
        <f t="shared" si="80"/>
        <v>3000</v>
      </c>
      <c r="J45" s="38">
        <v>0</v>
      </c>
      <c r="K45" s="38">
        <v>0</v>
      </c>
      <c r="L45" s="38">
        <v>0</v>
      </c>
      <c r="M45" s="51">
        <v>3000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2">
        <f t="shared" si="16"/>
        <v>0</v>
      </c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4"/>
      <c r="IN45" s="15"/>
    </row>
    <row r="46" spans="1:248" ht="17.25" customHeight="1">
      <c r="A46" s="34"/>
      <c r="B46" s="13" t="s">
        <v>31</v>
      </c>
      <c r="C46" s="35"/>
      <c r="D46" s="36"/>
      <c r="E46" s="37"/>
      <c r="F46" s="38">
        <f>H46+I46+AD46</f>
        <v>3680.41</v>
      </c>
      <c r="G46" s="39">
        <v>0</v>
      </c>
      <c r="H46" s="38">
        <v>0</v>
      </c>
      <c r="I46" s="38">
        <f t="shared" si="80"/>
        <v>3680.41</v>
      </c>
      <c r="J46" s="38">
        <v>0</v>
      </c>
      <c r="K46" s="38">
        <v>0</v>
      </c>
      <c r="L46" s="48">
        <v>2456</v>
      </c>
      <c r="M46" s="48">
        <v>1224.4100000000001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2">
        <f t="shared" si="16"/>
        <v>0</v>
      </c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4"/>
      <c r="IN46" s="15"/>
    </row>
    <row r="47" spans="1:248" ht="30.75" customHeight="1">
      <c r="A47" s="25">
        <v>14</v>
      </c>
      <c r="B47" s="28" t="s">
        <v>71</v>
      </c>
      <c r="C47" s="29" t="s">
        <v>72</v>
      </c>
      <c r="D47" s="30" t="s">
        <v>114</v>
      </c>
      <c r="E47" s="31">
        <f>F48</f>
        <v>7500</v>
      </c>
      <c r="F47" s="32">
        <f>F48</f>
        <v>7500</v>
      </c>
      <c r="G47" s="33">
        <f>G48</f>
        <v>0</v>
      </c>
      <c r="H47" s="33">
        <f>H48</f>
        <v>0</v>
      </c>
      <c r="I47" s="33">
        <f>SUM(K47:O47)</f>
        <v>6500</v>
      </c>
      <c r="J47" s="32">
        <f>J48</f>
        <v>0</v>
      </c>
      <c r="K47" s="32">
        <f t="shared" ref="K47:AD47" si="97">K48</f>
        <v>500</v>
      </c>
      <c r="L47" s="32">
        <f t="shared" si="97"/>
        <v>1500</v>
      </c>
      <c r="M47" s="32">
        <f t="shared" si="97"/>
        <v>1500</v>
      </c>
      <c r="N47" s="95">
        <f>N48</f>
        <v>1500</v>
      </c>
      <c r="O47" s="95">
        <f t="shared" ref="O47:S47" si="98">O48</f>
        <v>1500</v>
      </c>
      <c r="P47" s="95">
        <f t="shared" si="98"/>
        <v>1000</v>
      </c>
      <c r="Q47" s="95">
        <f t="shared" si="98"/>
        <v>0</v>
      </c>
      <c r="R47" s="95">
        <v>0</v>
      </c>
      <c r="S47" s="95">
        <f t="shared" si="98"/>
        <v>0</v>
      </c>
      <c r="T47" s="95">
        <f t="shared" ref="T47" si="99">T48</f>
        <v>0</v>
      </c>
      <c r="U47" s="95">
        <f t="shared" ref="U47" si="100">U48</f>
        <v>0</v>
      </c>
      <c r="V47" s="95">
        <f t="shared" ref="V47" si="101">V48</f>
        <v>0</v>
      </c>
      <c r="W47" s="95">
        <f t="shared" ref="W47" si="102">W48</f>
        <v>0</v>
      </c>
      <c r="X47" s="95">
        <f t="shared" ref="X47" si="103">X48</f>
        <v>0</v>
      </c>
      <c r="Y47" s="95">
        <f t="shared" ref="Y47" si="104">Y48</f>
        <v>0</v>
      </c>
      <c r="Z47" s="95">
        <f t="shared" ref="Z47" si="105">Z48</f>
        <v>0</v>
      </c>
      <c r="AA47" s="95">
        <f t="shared" ref="AA47" si="106">AA48</f>
        <v>0</v>
      </c>
      <c r="AB47" s="95">
        <f t="shared" ref="AB47" si="107">AB48</f>
        <v>0</v>
      </c>
      <c r="AC47" s="95">
        <f t="shared" ref="AC47" si="108">AC48</f>
        <v>0</v>
      </c>
      <c r="AD47" s="32">
        <f t="shared" si="97"/>
        <v>1000</v>
      </c>
    </row>
    <row r="48" spans="1:248" ht="17.25" customHeight="1">
      <c r="A48" s="34"/>
      <c r="B48" s="13" t="s">
        <v>30</v>
      </c>
      <c r="C48" s="35"/>
      <c r="D48" s="36"/>
      <c r="E48" s="37"/>
      <c r="F48" s="38">
        <f>H48+I48+AD48</f>
        <v>7500</v>
      </c>
      <c r="G48" s="39">
        <v>0</v>
      </c>
      <c r="H48" s="52">
        <v>0</v>
      </c>
      <c r="I48" s="38">
        <f>SUM(K48:O48)</f>
        <v>6500</v>
      </c>
      <c r="J48" s="38">
        <v>0</v>
      </c>
      <c r="K48" s="38">
        <v>500</v>
      </c>
      <c r="L48" s="38">
        <v>1500</v>
      </c>
      <c r="M48" s="38">
        <v>1500</v>
      </c>
      <c r="N48" s="94">
        <v>1500</v>
      </c>
      <c r="O48" s="94">
        <v>1500</v>
      </c>
      <c r="P48" s="94">
        <v>1000</v>
      </c>
      <c r="Q48" s="94">
        <v>0</v>
      </c>
      <c r="R48" s="94">
        <v>0</v>
      </c>
      <c r="S48" s="94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2">
        <f>P48+Q48+R48</f>
        <v>1000</v>
      </c>
    </row>
    <row r="49" spans="1:30" ht="21.75" customHeight="1">
      <c r="A49" s="25">
        <v>15</v>
      </c>
      <c r="B49" s="28" t="s">
        <v>74</v>
      </c>
      <c r="C49" s="29" t="s">
        <v>75</v>
      </c>
      <c r="D49" s="30" t="s">
        <v>76</v>
      </c>
      <c r="E49" s="31">
        <f>F50</f>
        <v>13998.649000000001</v>
      </c>
      <c r="F49" s="32">
        <f>F50+F51</f>
        <v>15446.889000000001</v>
      </c>
      <c r="G49" s="32">
        <f>G50+G51</f>
        <v>4017.5819999999999</v>
      </c>
      <c r="H49" s="32">
        <f>H50+H51</f>
        <v>4017.5819999999999</v>
      </c>
      <c r="I49" s="33">
        <f>SUM(K49:O49)</f>
        <v>9229.3070000000007</v>
      </c>
      <c r="J49" s="32">
        <f>J50+J51</f>
        <v>0</v>
      </c>
      <c r="K49" s="32">
        <f t="shared" ref="K49:M49" si="109">K50+K51</f>
        <v>0</v>
      </c>
      <c r="L49" s="32">
        <f t="shared" si="109"/>
        <v>50</v>
      </c>
      <c r="M49" s="32">
        <f t="shared" si="109"/>
        <v>2946.8429999999998</v>
      </c>
      <c r="N49" s="95">
        <f>N50+N51</f>
        <v>5932.4639999999999</v>
      </c>
      <c r="O49" s="95">
        <f t="shared" ref="O49:S49" si="110">O50+O51</f>
        <v>300</v>
      </c>
      <c r="P49" s="95">
        <f t="shared" si="110"/>
        <v>0</v>
      </c>
      <c r="Q49" s="95">
        <f t="shared" si="110"/>
        <v>2200</v>
      </c>
      <c r="R49" s="95">
        <v>0</v>
      </c>
      <c r="S49" s="95">
        <f t="shared" si="110"/>
        <v>0</v>
      </c>
      <c r="T49" s="95">
        <f t="shared" ref="T49" si="111">T50+T51</f>
        <v>0</v>
      </c>
      <c r="U49" s="95">
        <f t="shared" ref="U49" si="112">U50+U51</f>
        <v>0</v>
      </c>
      <c r="V49" s="95">
        <f t="shared" ref="V49" si="113">V50+V51</f>
        <v>0</v>
      </c>
      <c r="W49" s="95">
        <f t="shared" ref="W49" si="114">W50+W51</f>
        <v>0</v>
      </c>
      <c r="X49" s="95">
        <f t="shared" ref="X49" si="115">X50+X51</f>
        <v>0</v>
      </c>
      <c r="Y49" s="95">
        <f t="shared" ref="Y49" si="116">Y50+Y51</f>
        <v>0</v>
      </c>
      <c r="Z49" s="95">
        <f t="shared" ref="Z49" si="117">Z50+Z51</f>
        <v>0</v>
      </c>
      <c r="AA49" s="95">
        <f t="shared" ref="AA49" si="118">AA50+AA51</f>
        <v>0</v>
      </c>
      <c r="AB49" s="95">
        <f t="shared" ref="AB49" si="119">AB50+AB51</f>
        <v>0</v>
      </c>
      <c r="AC49" s="95">
        <f t="shared" ref="AC49" si="120">AC50+AC51</f>
        <v>0</v>
      </c>
      <c r="AD49" s="32">
        <f>P49+Q49+R49</f>
        <v>2200</v>
      </c>
    </row>
    <row r="50" spans="1:30" ht="17.25" customHeight="1">
      <c r="A50" s="34"/>
      <c r="B50" s="13" t="s">
        <v>30</v>
      </c>
      <c r="C50" s="35"/>
      <c r="D50" s="36"/>
      <c r="E50" s="37"/>
      <c r="F50" s="38">
        <f>H50+I50+AD50</f>
        <v>13998.649000000001</v>
      </c>
      <c r="G50" s="39">
        <v>3100.451</v>
      </c>
      <c r="H50" s="38">
        <v>3100.451</v>
      </c>
      <c r="I50" s="38">
        <f>SUM(K50:O50)</f>
        <v>8698.1980000000003</v>
      </c>
      <c r="J50" s="38">
        <v>0</v>
      </c>
      <c r="K50" s="38">
        <v>0</v>
      </c>
      <c r="L50" s="38">
        <v>50</v>
      </c>
      <c r="M50" s="40">
        <v>2415.7339999999999</v>
      </c>
      <c r="N50" s="93">
        <v>5932.4639999999999</v>
      </c>
      <c r="O50" s="94">
        <v>300</v>
      </c>
      <c r="P50" s="94">
        <v>0</v>
      </c>
      <c r="Q50" s="94">
        <v>2200</v>
      </c>
      <c r="R50" s="94">
        <v>0</v>
      </c>
      <c r="S50" s="94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2">
        <f>P50+Q50+R50</f>
        <v>2200</v>
      </c>
    </row>
    <row r="51" spans="1:30" ht="17.25" customHeight="1">
      <c r="A51" s="45"/>
      <c r="B51" s="13" t="s">
        <v>77</v>
      </c>
      <c r="C51" s="35"/>
      <c r="D51" s="36"/>
      <c r="E51" s="37"/>
      <c r="F51" s="38">
        <f>H51+I51+AD51</f>
        <v>1448.24</v>
      </c>
      <c r="G51" s="39">
        <v>917.13099999999997</v>
      </c>
      <c r="H51" s="38">
        <v>917.13099999999997</v>
      </c>
      <c r="I51" s="38">
        <f>SUM(K51:O51)</f>
        <v>531.10900000000004</v>
      </c>
      <c r="J51" s="38">
        <v>0</v>
      </c>
      <c r="K51" s="38">
        <v>0</v>
      </c>
      <c r="L51" s="38">
        <v>0</v>
      </c>
      <c r="M51" s="38">
        <v>531.10900000000004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2">
        <f>P51+Q51+R51</f>
        <v>0</v>
      </c>
    </row>
    <row r="52" spans="1:30" ht="28.5" customHeight="1">
      <c r="A52" s="25">
        <v>16</v>
      </c>
      <c r="B52" s="28" t="s">
        <v>256</v>
      </c>
      <c r="C52" s="29" t="s">
        <v>264</v>
      </c>
      <c r="D52" s="30" t="s">
        <v>78</v>
      </c>
      <c r="E52" s="31">
        <f>F53</f>
        <v>136021.495</v>
      </c>
      <c r="F52" s="32">
        <f>F53+F54</f>
        <v>245804.40700000001</v>
      </c>
      <c r="G52" s="32">
        <f>G53+G54</f>
        <v>0</v>
      </c>
      <c r="H52" s="32">
        <f>H53+H54</f>
        <v>0</v>
      </c>
      <c r="I52" s="33">
        <f t="shared" ref="I52:I66" si="121">SUM(K52:O52)</f>
        <v>45871.578999999998</v>
      </c>
      <c r="J52" s="32">
        <f t="shared" ref="J52:AD52" si="122">J53+J54</f>
        <v>0</v>
      </c>
      <c r="K52" s="32">
        <f t="shared" si="122"/>
        <v>0</v>
      </c>
      <c r="L52" s="32">
        <f t="shared" si="122"/>
        <v>160.63800000000001</v>
      </c>
      <c r="M52" s="33">
        <f t="shared" si="122"/>
        <v>191.26500000000004</v>
      </c>
      <c r="N52" s="95">
        <f>N53+N54</f>
        <v>1.966</v>
      </c>
      <c r="O52" s="95">
        <f t="shared" ref="O52:Q52" si="123">O53+O54</f>
        <v>45517.71</v>
      </c>
      <c r="P52" s="95">
        <f t="shared" si="123"/>
        <v>101253.197</v>
      </c>
      <c r="Q52" s="95">
        <f t="shared" si="123"/>
        <v>98679.630999999994</v>
      </c>
      <c r="R52" s="95">
        <v>0</v>
      </c>
      <c r="S52" s="95">
        <f>S53+S54</f>
        <v>0</v>
      </c>
      <c r="T52" s="95">
        <f t="shared" ref="T52:AC52" si="124">T53+T54</f>
        <v>0</v>
      </c>
      <c r="U52" s="95">
        <f t="shared" si="124"/>
        <v>0</v>
      </c>
      <c r="V52" s="95">
        <f t="shared" si="124"/>
        <v>0</v>
      </c>
      <c r="W52" s="95">
        <f t="shared" si="124"/>
        <v>0</v>
      </c>
      <c r="X52" s="95">
        <f t="shared" si="124"/>
        <v>0</v>
      </c>
      <c r="Y52" s="95">
        <f t="shared" si="124"/>
        <v>0</v>
      </c>
      <c r="Z52" s="95">
        <f t="shared" si="124"/>
        <v>0</v>
      </c>
      <c r="AA52" s="95">
        <f t="shared" si="124"/>
        <v>0</v>
      </c>
      <c r="AB52" s="95">
        <f t="shared" si="124"/>
        <v>0</v>
      </c>
      <c r="AC52" s="95">
        <f t="shared" si="124"/>
        <v>0</v>
      </c>
      <c r="AD52" s="32">
        <f t="shared" si="122"/>
        <v>199932.82800000001</v>
      </c>
    </row>
    <row r="53" spans="1:30" ht="17.25" customHeight="1">
      <c r="A53" s="34"/>
      <c r="B53" s="13" t="s">
        <v>30</v>
      </c>
      <c r="C53" s="38"/>
      <c r="D53" s="38"/>
      <c r="E53" s="38"/>
      <c r="F53" s="38">
        <f>H53+I53+AD53</f>
        <v>136021.495</v>
      </c>
      <c r="G53" s="38">
        <v>0</v>
      </c>
      <c r="H53" s="38">
        <v>0</v>
      </c>
      <c r="I53" s="38">
        <f t="shared" si="121"/>
        <v>25530.289000000001</v>
      </c>
      <c r="J53" s="16">
        <v>0</v>
      </c>
      <c r="K53" s="16">
        <v>0</v>
      </c>
      <c r="L53" s="17">
        <v>68.763000000000005</v>
      </c>
      <c r="M53" s="53">
        <f>269.956-4.52-150</f>
        <v>115.43600000000004</v>
      </c>
      <c r="N53" s="100">
        <v>1.966</v>
      </c>
      <c r="O53" s="100">
        <v>25344.124</v>
      </c>
      <c r="P53" s="99">
        <v>53479.948000000004</v>
      </c>
      <c r="Q53" s="99">
        <v>57011.258000000002</v>
      </c>
      <c r="R53" s="94">
        <v>0</v>
      </c>
      <c r="S53" s="9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32">
        <f>P53+Q53+R53</f>
        <v>110491.20600000001</v>
      </c>
    </row>
    <row r="54" spans="1:30" ht="17.25" customHeight="1">
      <c r="A54" s="34"/>
      <c r="B54" s="43" t="s">
        <v>38</v>
      </c>
      <c r="C54" s="38"/>
      <c r="D54" s="38"/>
      <c r="E54" s="38"/>
      <c r="F54" s="38">
        <f>H54+I54+AD54</f>
        <v>109782.91200000001</v>
      </c>
      <c r="G54" s="38">
        <v>0</v>
      </c>
      <c r="H54" s="38">
        <v>0</v>
      </c>
      <c r="I54" s="38">
        <f t="shared" si="121"/>
        <v>20341.29</v>
      </c>
      <c r="J54" s="16">
        <v>0</v>
      </c>
      <c r="K54" s="16">
        <v>0</v>
      </c>
      <c r="L54" s="17">
        <v>91.875</v>
      </c>
      <c r="M54" s="53">
        <f>78.567-2.738</f>
        <v>75.828999999999994</v>
      </c>
      <c r="N54" s="100">
        <v>0</v>
      </c>
      <c r="O54" s="100">
        <v>20173.585999999999</v>
      </c>
      <c r="P54" s="99">
        <v>47773.248999999996</v>
      </c>
      <c r="Q54" s="99">
        <v>41668.373</v>
      </c>
      <c r="R54" s="94">
        <v>0</v>
      </c>
      <c r="S54" s="9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32">
        <f>P54+Q54+R54</f>
        <v>89441.622000000003</v>
      </c>
    </row>
    <row r="55" spans="1:30" ht="21.75" customHeight="1">
      <c r="A55" s="25">
        <v>17</v>
      </c>
      <c r="B55" s="28" t="s">
        <v>79</v>
      </c>
      <c r="C55" s="29" t="s">
        <v>40</v>
      </c>
      <c r="D55" s="30" t="s">
        <v>258</v>
      </c>
      <c r="E55" s="31">
        <f>F56</f>
        <v>240000</v>
      </c>
      <c r="F55" s="32">
        <f>F56+F57</f>
        <v>240000</v>
      </c>
      <c r="G55" s="32">
        <f>G56+G57</f>
        <v>0</v>
      </c>
      <c r="H55" s="32">
        <f>H56+H57</f>
        <v>0</v>
      </c>
      <c r="I55" s="33">
        <f t="shared" si="121"/>
        <v>4000</v>
      </c>
      <c r="J55" s="32">
        <f t="shared" ref="J55:AD55" si="125">J56+J57</f>
        <v>0</v>
      </c>
      <c r="K55" s="32">
        <f t="shared" si="125"/>
        <v>0</v>
      </c>
      <c r="L55" s="32">
        <f t="shared" si="125"/>
        <v>0</v>
      </c>
      <c r="M55" s="32">
        <f t="shared" si="125"/>
        <v>0</v>
      </c>
      <c r="N55" s="95">
        <f>N56+N57</f>
        <v>0</v>
      </c>
      <c r="O55" s="95">
        <f t="shared" ref="O55:S55" si="126">O56+O57</f>
        <v>4000</v>
      </c>
      <c r="P55" s="95">
        <f t="shared" si="126"/>
        <v>48000</v>
      </c>
      <c r="Q55" s="95">
        <f t="shared" si="126"/>
        <v>87000</v>
      </c>
      <c r="R55" s="95">
        <v>101000</v>
      </c>
      <c r="S55" s="95">
        <f t="shared" si="126"/>
        <v>81000</v>
      </c>
      <c r="T55" s="95">
        <f t="shared" ref="T55" si="127">T56+T57</f>
        <v>20000</v>
      </c>
      <c r="U55" s="95">
        <f t="shared" ref="U55" si="128">U56+U57</f>
        <v>0</v>
      </c>
      <c r="V55" s="95">
        <f t="shared" ref="V55" si="129">V56+V57</f>
        <v>0</v>
      </c>
      <c r="W55" s="95">
        <f t="shared" ref="W55" si="130">W56+W57</f>
        <v>0</v>
      </c>
      <c r="X55" s="95">
        <f t="shared" ref="X55" si="131">X56+X57</f>
        <v>0</v>
      </c>
      <c r="Y55" s="95">
        <f t="shared" ref="Y55" si="132">Y56+Y57</f>
        <v>0</v>
      </c>
      <c r="Z55" s="95">
        <f t="shared" ref="Z55" si="133">Z56+Z57</f>
        <v>0</v>
      </c>
      <c r="AA55" s="95">
        <f t="shared" ref="AA55" si="134">AA56+AA57</f>
        <v>0</v>
      </c>
      <c r="AB55" s="95">
        <f t="shared" ref="AB55" si="135">AB56+AB57</f>
        <v>0</v>
      </c>
      <c r="AC55" s="95">
        <f t="shared" ref="AC55" si="136">AC56+AC57</f>
        <v>0</v>
      </c>
      <c r="AD55" s="32">
        <f t="shared" si="125"/>
        <v>236000</v>
      </c>
    </row>
    <row r="56" spans="1:30" ht="17.25" customHeight="1">
      <c r="A56" s="34"/>
      <c r="B56" s="13" t="s">
        <v>30</v>
      </c>
      <c r="C56" s="38"/>
      <c r="D56" s="38"/>
      <c r="E56" s="38"/>
      <c r="F56" s="38">
        <f>H56+I56+AD56</f>
        <v>240000</v>
      </c>
      <c r="G56" s="38">
        <v>0</v>
      </c>
      <c r="H56" s="38">
        <v>0</v>
      </c>
      <c r="I56" s="38">
        <f t="shared" si="121"/>
        <v>4000</v>
      </c>
      <c r="J56" s="16">
        <v>0</v>
      </c>
      <c r="K56" s="16">
        <v>0</v>
      </c>
      <c r="L56" s="49">
        <v>0</v>
      </c>
      <c r="M56" s="17">
        <v>0</v>
      </c>
      <c r="N56" s="98">
        <v>0</v>
      </c>
      <c r="O56" s="100">
        <v>4000</v>
      </c>
      <c r="P56" s="100">
        <v>48000</v>
      </c>
      <c r="Q56" s="100">
        <v>87000</v>
      </c>
      <c r="R56" s="101">
        <v>101000</v>
      </c>
      <c r="S56" s="100">
        <v>81000</v>
      </c>
      <c r="T56" s="100">
        <v>20000</v>
      </c>
      <c r="U56" s="100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32">
        <f t="shared" ref="AD56:AD94" si="137">P56+Q56+R56</f>
        <v>236000</v>
      </c>
    </row>
    <row r="57" spans="1:30" ht="17.25" customHeight="1">
      <c r="A57" s="34"/>
      <c r="B57" s="43" t="s">
        <v>38</v>
      </c>
      <c r="C57" s="38"/>
      <c r="D57" s="38"/>
      <c r="E57" s="38"/>
      <c r="F57" s="38">
        <f>H57+I57+AD57</f>
        <v>0</v>
      </c>
      <c r="G57" s="38">
        <v>0</v>
      </c>
      <c r="H57" s="38">
        <v>0</v>
      </c>
      <c r="I57" s="38">
        <f t="shared" si="121"/>
        <v>0</v>
      </c>
      <c r="J57" s="16">
        <v>0</v>
      </c>
      <c r="K57" s="16">
        <v>0</v>
      </c>
      <c r="L57" s="49">
        <v>0</v>
      </c>
      <c r="M57" s="17">
        <v>0</v>
      </c>
      <c r="N57" s="98">
        <v>0</v>
      </c>
      <c r="O57" s="100">
        <v>0</v>
      </c>
      <c r="P57" s="100">
        <v>0</v>
      </c>
      <c r="Q57" s="100">
        <v>0</v>
      </c>
      <c r="R57" s="93">
        <v>0</v>
      </c>
      <c r="S57" s="100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32">
        <f t="shared" si="137"/>
        <v>0</v>
      </c>
    </row>
    <row r="58" spans="1:30" ht="21.75" customHeight="1">
      <c r="A58" s="25">
        <v>18</v>
      </c>
      <c r="B58" s="28" t="s">
        <v>80</v>
      </c>
      <c r="C58" s="29" t="s">
        <v>244</v>
      </c>
      <c r="D58" s="30" t="s">
        <v>81</v>
      </c>
      <c r="E58" s="31">
        <f>F59</f>
        <v>4811.1469999999999</v>
      </c>
      <c r="F58" s="32">
        <f>F59+F60</f>
        <v>23295.413</v>
      </c>
      <c r="G58" s="32">
        <f>G59+G60</f>
        <v>0</v>
      </c>
      <c r="H58" s="32">
        <f>H59+H60</f>
        <v>0</v>
      </c>
      <c r="I58" s="33">
        <f t="shared" si="121"/>
        <v>23295.412999999997</v>
      </c>
      <c r="J58" s="32">
        <f t="shared" ref="J58:M58" si="138">J59+J60</f>
        <v>0</v>
      </c>
      <c r="K58" s="32">
        <f t="shared" si="138"/>
        <v>0</v>
      </c>
      <c r="L58" s="32">
        <f t="shared" si="138"/>
        <v>42.280999999999999</v>
      </c>
      <c r="M58" s="32">
        <f t="shared" si="138"/>
        <v>1033.077</v>
      </c>
      <c r="N58" s="95">
        <f>N59+N60</f>
        <v>22012.184999999998</v>
      </c>
      <c r="O58" s="95">
        <f t="shared" ref="O58:Q58" si="139">O59+O60</f>
        <v>207.87</v>
      </c>
      <c r="P58" s="95">
        <f t="shared" si="139"/>
        <v>0</v>
      </c>
      <c r="Q58" s="95">
        <f t="shared" si="139"/>
        <v>0</v>
      </c>
      <c r="R58" s="95">
        <v>0</v>
      </c>
      <c r="S58" s="95">
        <f t="shared" ref="S58" si="140">S59+S60</f>
        <v>0</v>
      </c>
      <c r="T58" s="95">
        <f t="shared" ref="T58" si="141">T59+T60</f>
        <v>0</v>
      </c>
      <c r="U58" s="95">
        <f t="shared" ref="U58" si="142">U59+U60</f>
        <v>0</v>
      </c>
      <c r="V58" s="95">
        <f t="shared" ref="V58" si="143">V59+V60</f>
        <v>0</v>
      </c>
      <c r="W58" s="95">
        <f t="shared" ref="W58" si="144">W59+W60</f>
        <v>0</v>
      </c>
      <c r="X58" s="95">
        <f t="shared" ref="X58" si="145">X59+X60</f>
        <v>0</v>
      </c>
      <c r="Y58" s="95">
        <f t="shared" ref="Y58" si="146">Y59+Y60</f>
        <v>0</v>
      </c>
      <c r="Z58" s="95">
        <f t="shared" ref="Z58" si="147">Z59+Z60</f>
        <v>0</v>
      </c>
      <c r="AA58" s="95">
        <f t="shared" ref="AA58" si="148">AA59+AA60</f>
        <v>0</v>
      </c>
      <c r="AB58" s="95">
        <f t="shared" ref="AB58" si="149">AB59+AB60</f>
        <v>0</v>
      </c>
      <c r="AC58" s="95">
        <f t="shared" ref="AC58" si="150">AC59+AC60</f>
        <v>0</v>
      </c>
      <c r="AD58" s="32">
        <f t="shared" si="137"/>
        <v>0</v>
      </c>
    </row>
    <row r="59" spans="1:30" ht="17.25" customHeight="1">
      <c r="A59" s="34"/>
      <c r="B59" s="13" t="s">
        <v>30</v>
      </c>
      <c r="C59" s="38"/>
      <c r="D59" s="38"/>
      <c r="E59" s="38"/>
      <c r="F59" s="38">
        <f>H59+I59+AD59</f>
        <v>4811.1469999999999</v>
      </c>
      <c r="G59" s="38">
        <v>0</v>
      </c>
      <c r="H59" s="38">
        <v>0</v>
      </c>
      <c r="I59" s="38">
        <f t="shared" si="121"/>
        <v>4811.1469999999999</v>
      </c>
      <c r="J59" s="16">
        <v>0</v>
      </c>
      <c r="K59" s="16">
        <v>0</v>
      </c>
      <c r="L59" s="17">
        <v>13.881</v>
      </c>
      <c r="M59" s="17">
        <f>173.271+2.685-18.711</f>
        <v>157.245</v>
      </c>
      <c r="N59" s="98">
        <v>4432.1509999999998</v>
      </c>
      <c r="O59" s="98">
        <v>207.87</v>
      </c>
      <c r="P59" s="99">
        <v>0</v>
      </c>
      <c r="Q59" s="99">
        <v>0</v>
      </c>
      <c r="R59" s="94">
        <v>0</v>
      </c>
      <c r="S59" s="9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32">
        <f t="shared" si="137"/>
        <v>0</v>
      </c>
    </row>
    <row r="60" spans="1:30" ht="17.25" customHeight="1">
      <c r="A60" s="34"/>
      <c r="B60" s="43" t="s">
        <v>38</v>
      </c>
      <c r="C60" s="38"/>
      <c r="D60" s="38"/>
      <c r="E60" s="38"/>
      <c r="F60" s="38">
        <f>H60+I60+AD60</f>
        <v>18484.266</v>
      </c>
      <c r="G60" s="38">
        <v>0</v>
      </c>
      <c r="H60" s="38">
        <v>0</v>
      </c>
      <c r="I60" s="38">
        <f t="shared" si="121"/>
        <v>18484.266</v>
      </c>
      <c r="J60" s="16">
        <v>0</v>
      </c>
      <c r="K60" s="16">
        <v>0</v>
      </c>
      <c r="L60" s="17">
        <v>28.4</v>
      </c>
      <c r="M60" s="17">
        <f>981.861-106.029</f>
        <v>875.83199999999999</v>
      </c>
      <c r="N60" s="98">
        <v>17580.034</v>
      </c>
      <c r="O60" s="98">
        <v>0</v>
      </c>
      <c r="P60" s="99">
        <v>0</v>
      </c>
      <c r="Q60" s="99">
        <v>0</v>
      </c>
      <c r="R60" s="94">
        <v>0</v>
      </c>
      <c r="S60" s="9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32">
        <f t="shared" si="137"/>
        <v>0</v>
      </c>
    </row>
    <row r="61" spans="1:30" ht="21.75" customHeight="1">
      <c r="A61" s="25">
        <v>19</v>
      </c>
      <c r="B61" s="28" t="s">
        <v>243</v>
      </c>
      <c r="C61" s="29" t="s">
        <v>263</v>
      </c>
      <c r="D61" s="30" t="s">
        <v>87</v>
      </c>
      <c r="E61" s="31">
        <f>F62</f>
        <v>2046</v>
      </c>
      <c r="F61" s="32">
        <f>F62+F63</f>
        <v>13351</v>
      </c>
      <c r="G61" s="32">
        <f>G62+G63</f>
        <v>0</v>
      </c>
      <c r="H61" s="32">
        <f>H62+H63</f>
        <v>0</v>
      </c>
      <c r="I61" s="33">
        <f t="shared" ref="I61:I63" si="151">SUM(K61:O61)</f>
        <v>2721</v>
      </c>
      <c r="J61" s="32">
        <f t="shared" ref="J61:M61" si="152">J62+J63</f>
        <v>0</v>
      </c>
      <c r="K61" s="32">
        <f t="shared" si="152"/>
        <v>0</v>
      </c>
      <c r="L61" s="32">
        <f t="shared" si="152"/>
        <v>0</v>
      </c>
      <c r="M61" s="32">
        <f t="shared" si="152"/>
        <v>0</v>
      </c>
      <c r="N61" s="95">
        <f>N62+N63</f>
        <v>0</v>
      </c>
      <c r="O61" s="95">
        <f t="shared" ref="O61:Q61" si="153">O62+O63</f>
        <v>2721</v>
      </c>
      <c r="P61" s="95">
        <f t="shared" si="153"/>
        <v>10630</v>
      </c>
      <c r="Q61" s="95">
        <f t="shared" si="153"/>
        <v>0</v>
      </c>
      <c r="R61" s="95">
        <v>0</v>
      </c>
      <c r="S61" s="95">
        <f t="shared" ref="S61" si="154">S62+S63</f>
        <v>0</v>
      </c>
      <c r="T61" s="95">
        <f t="shared" ref="T61" si="155">T62+T63</f>
        <v>0</v>
      </c>
      <c r="U61" s="95">
        <f t="shared" ref="U61" si="156">U62+U63</f>
        <v>0</v>
      </c>
      <c r="V61" s="95">
        <f t="shared" ref="V61" si="157">V62+V63</f>
        <v>0</v>
      </c>
      <c r="W61" s="95">
        <f t="shared" ref="W61" si="158">W62+W63</f>
        <v>0</v>
      </c>
      <c r="X61" s="95">
        <f t="shared" ref="X61" si="159">X62+X63</f>
        <v>0</v>
      </c>
      <c r="Y61" s="95">
        <f t="shared" ref="Y61" si="160">Y62+Y63</f>
        <v>0</v>
      </c>
      <c r="Z61" s="95">
        <f t="shared" ref="Z61" si="161">Z62+Z63</f>
        <v>0</v>
      </c>
      <c r="AA61" s="95">
        <f t="shared" ref="AA61" si="162">AA62+AA63</f>
        <v>0</v>
      </c>
      <c r="AB61" s="95">
        <f t="shared" ref="AB61" si="163">AB62+AB63</f>
        <v>0</v>
      </c>
      <c r="AC61" s="95">
        <f t="shared" ref="AC61" si="164">AC62+AC63</f>
        <v>0</v>
      </c>
      <c r="AD61" s="32">
        <f t="shared" si="137"/>
        <v>10630</v>
      </c>
    </row>
    <row r="62" spans="1:30" ht="17.25" customHeight="1">
      <c r="A62" s="34"/>
      <c r="B62" s="13" t="s">
        <v>30</v>
      </c>
      <c r="C62" s="38"/>
      <c r="D62" s="38"/>
      <c r="E62" s="38"/>
      <c r="F62" s="38">
        <f>H62+I62+AD62</f>
        <v>2046</v>
      </c>
      <c r="G62" s="38">
        <v>0</v>
      </c>
      <c r="H62" s="38">
        <v>0</v>
      </c>
      <c r="I62" s="38">
        <f t="shared" si="151"/>
        <v>434.5</v>
      </c>
      <c r="J62" s="16">
        <v>0</v>
      </c>
      <c r="K62" s="16">
        <v>0</v>
      </c>
      <c r="L62" s="17">
        <v>0</v>
      </c>
      <c r="M62" s="17">
        <v>0</v>
      </c>
      <c r="N62" s="100">
        <v>0</v>
      </c>
      <c r="O62" s="100">
        <v>434.5</v>
      </c>
      <c r="P62" s="100">
        <v>1611.5</v>
      </c>
      <c r="Q62" s="99">
        <v>0</v>
      </c>
      <c r="R62" s="94">
        <v>0</v>
      </c>
      <c r="S62" s="9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32">
        <f t="shared" si="137"/>
        <v>1611.5</v>
      </c>
    </row>
    <row r="63" spans="1:30" ht="17.25" customHeight="1">
      <c r="A63" s="34"/>
      <c r="B63" s="43" t="s">
        <v>38</v>
      </c>
      <c r="C63" s="38"/>
      <c r="D63" s="38"/>
      <c r="E63" s="38"/>
      <c r="F63" s="38">
        <f>H63+I63+AD63</f>
        <v>11305</v>
      </c>
      <c r="G63" s="38">
        <v>0</v>
      </c>
      <c r="H63" s="38">
        <v>0</v>
      </c>
      <c r="I63" s="38">
        <f t="shared" si="151"/>
        <v>2286.5</v>
      </c>
      <c r="J63" s="16">
        <v>0</v>
      </c>
      <c r="K63" s="16">
        <v>0</v>
      </c>
      <c r="L63" s="17">
        <v>0</v>
      </c>
      <c r="M63" s="17">
        <v>0</v>
      </c>
      <c r="N63" s="100">
        <v>0</v>
      </c>
      <c r="O63" s="100">
        <v>2286.5</v>
      </c>
      <c r="P63" s="100">
        <v>9018.5</v>
      </c>
      <c r="Q63" s="99">
        <v>0</v>
      </c>
      <c r="R63" s="94">
        <v>0</v>
      </c>
      <c r="S63" s="9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32">
        <f t="shared" si="137"/>
        <v>9018.5</v>
      </c>
    </row>
    <row r="64" spans="1:30" ht="21.75" customHeight="1">
      <c r="A64" s="25">
        <v>20</v>
      </c>
      <c r="B64" s="28" t="s">
        <v>82</v>
      </c>
      <c r="C64" s="29" t="s">
        <v>144</v>
      </c>
      <c r="D64" s="54" t="s">
        <v>269</v>
      </c>
      <c r="E64" s="31">
        <f>F65</f>
        <v>18604.035</v>
      </c>
      <c r="F64" s="32">
        <f>F65+F66</f>
        <v>18604.035</v>
      </c>
      <c r="G64" s="32">
        <f>G65+G66</f>
        <v>0</v>
      </c>
      <c r="H64" s="32">
        <f>H65+H66</f>
        <v>0</v>
      </c>
      <c r="I64" s="33">
        <f t="shared" si="121"/>
        <v>373.67499999999995</v>
      </c>
      <c r="J64" s="32">
        <f t="shared" ref="J64:M64" si="165">J65+J66</f>
        <v>0</v>
      </c>
      <c r="K64" s="32">
        <f t="shared" si="165"/>
        <v>0</v>
      </c>
      <c r="L64" s="32">
        <f t="shared" si="165"/>
        <v>0</v>
      </c>
      <c r="M64" s="32">
        <f t="shared" si="165"/>
        <v>17.22</v>
      </c>
      <c r="N64" s="95">
        <f>N65+N66</f>
        <v>265.988</v>
      </c>
      <c r="O64" s="95">
        <f t="shared" ref="O64:Q64" si="166">O65+O66</f>
        <v>90.466999999999999</v>
      </c>
      <c r="P64" s="95">
        <f t="shared" si="166"/>
        <v>0</v>
      </c>
      <c r="Q64" s="95">
        <f t="shared" si="166"/>
        <v>0</v>
      </c>
      <c r="R64" s="95">
        <v>18230.36</v>
      </c>
      <c r="S64" s="95">
        <f t="shared" ref="S64" si="167">S65+S66</f>
        <v>0</v>
      </c>
      <c r="T64" s="95">
        <f t="shared" ref="T64" si="168">T65+T66</f>
        <v>18230.36</v>
      </c>
      <c r="U64" s="95">
        <f t="shared" ref="U64" si="169">U65+U66</f>
        <v>0</v>
      </c>
      <c r="V64" s="95">
        <f t="shared" ref="V64" si="170">V65+V66</f>
        <v>0</v>
      </c>
      <c r="W64" s="95">
        <f t="shared" ref="W64" si="171">W65+W66</f>
        <v>0</v>
      </c>
      <c r="X64" s="95">
        <f t="shared" ref="X64" si="172">X65+X66</f>
        <v>0</v>
      </c>
      <c r="Y64" s="95">
        <f t="shared" ref="Y64" si="173">Y65+Y66</f>
        <v>0</v>
      </c>
      <c r="Z64" s="95">
        <f t="shared" ref="Z64" si="174">Z65+Z66</f>
        <v>0</v>
      </c>
      <c r="AA64" s="95">
        <f t="shared" ref="AA64" si="175">AA65+AA66</f>
        <v>0</v>
      </c>
      <c r="AB64" s="95">
        <f t="shared" ref="AB64" si="176">AB65+AB66</f>
        <v>0</v>
      </c>
      <c r="AC64" s="95">
        <f t="shared" ref="AC64" si="177">AC65+AC66</f>
        <v>0</v>
      </c>
      <c r="AD64" s="32">
        <f t="shared" si="137"/>
        <v>18230.36</v>
      </c>
    </row>
    <row r="65" spans="1:248" ht="17.25" customHeight="1">
      <c r="A65" s="34"/>
      <c r="B65" s="13" t="s">
        <v>30</v>
      </c>
      <c r="C65" s="38"/>
      <c r="D65" s="38"/>
      <c r="E65" s="38"/>
      <c r="F65" s="38">
        <f>H65+I65+AD65</f>
        <v>18604.035</v>
      </c>
      <c r="G65" s="38">
        <v>0</v>
      </c>
      <c r="H65" s="38">
        <v>0</v>
      </c>
      <c r="I65" s="38">
        <f t="shared" si="121"/>
        <v>373.67499999999995</v>
      </c>
      <c r="J65" s="16">
        <v>0</v>
      </c>
      <c r="K65" s="16">
        <v>0</v>
      </c>
      <c r="L65" s="49">
        <v>0</v>
      </c>
      <c r="M65" s="49">
        <v>17.22</v>
      </c>
      <c r="N65" s="94">
        <v>265.988</v>
      </c>
      <c r="O65" s="93">
        <v>90.466999999999999</v>
      </c>
      <c r="P65" s="100"/>
      <c r="Q65" s="100">
        <v>0</v>
      </c>
      <c r="R65" s="94">
        <v>18230.36</v>
      </c>
      <c r="S65" s="94">
        <v>0</v>
      </c>
      <c r="T65" s="99">
        <v>18230.36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32">
        <f t="shared" si="137"/>
        <v>18230.36</v>
      </c>
    </row>
    <row r="66" spans="1:248" ht="17.25" customHeight="1">
      <c r="A66" s="34"/>
      <c r="B66" s="121" t="s">
        <v>38</v>
      </c>
      <c r="C66" s="38"/>
      <c r="D66" s="38"/>
      <c r="E66" s="38"/>
      <c r="F66" s="38">
        <f>H66+I66+AD66</f>
        <v>0</v>
      </c>
      <c r="G66" s="38">
        <v>0</v>
      </c>
      <c r="H66" s="38">
        <v>0</v>
      </c>
      <c r="I66" s="38">
        <f t="shared" si="121"/>
        <v>0</v>
      </c>
      <c r="J66" s="16">
        <v>0</v>
      </c>
      <c r="K66" s="16">
        <v>0</v>
      </c>
      <c r="L66" s="49">
        <v>0</v>
      </c>
      <c r="M66" s="49">
        <v>0</v>
      </c>
      <c r="N66" s="98">
        <v>0</v>
      </c>
      <c r="O66" s="99">
        <v>0</v>
      </c>
      <c r="P66" s="99">
        <v>0</v>
      </c>
      <c r="Q66" s="99">
        <v>0</v>
      </c>
      <c r="R66" s="94">
        <v>0</v>
      </c>
      <c r="S66" s="94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32">
        <f t="shared" si="137"/>
        <v>0</v>
      </c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</row>
    <row r="67" spans="1:248" ht="30" customHeight="1">
      <c r="A67" s="25">
        <v>21</v>
      </c>
      <c r="B67" s="28" t="s">
        <v>292</v>
      </c>
      <c r="C67" s="29" t="s">
        <v>40</v>
      </c>
      <c r="D67" s="30" t="s">
        <v>249</v>
      </c>
      <c r="E67" s="31">
        <f>F68</f>
        <v>45416.216999999997</v>
      </c>
      <c r="F67" s="32">
        <f>F68+F69</f>
        <v>64208</v>
      </c>
      <c r="G67" s="32">
        <f>G68+G69</f>
        <v>0</v>
      </c>
      <c r="H67" s="32">
        <f>H68+H69</f>
        <v>0</v>
      </c>
      <c r="I67" s="33">
        <f t="shared" ref="I67:I74" si="178">SUM(K67:O67)</f>
        <v>20975.402999999998</v>
      </c>
      <c r="J67" s="32">
        <f t="shared" ref="J67:M67" si="179">J68+J69</f>
        <v>0</v>
      </c>
      <c r="K67" s="32">
        <f t="shared" si="179"/>
        <v>0</v>
      </c>
      <c r="L67" s="32">
        <f t="shared" si="179"/>
        <v>0</v>
      </c>
      <c r="M67" s="32">
        <f t="shared" si="179"/>
        <v>39.36</v>
      </c>
      <c r="N67" s="95">
        <f>N68+N69</f>
        <v>415.04299999999995</v>
      </c>
      <c r="O67" s="95">
        <f t="shared" ref="O67:Q67" si="180">O68+O69</f>
        <v>20521</v>
      </c>
      <c r="P67" s="95">
        <f t="shared" si="180"/>
        <v>27232.596999999998</v>
      </c>
      <c r="Q67" s="95">
        <f t="shared" si="180"/>
        <v>16000</v>
      </c>
      <c r="R67" s="95">
        <v>0</v>
      </c>
      <c r="S67" s="95">
        <f t="shared" ref="S67" si="181">S68+S69</f>
        <v>0</v>
      </c>
      <c r="T67" s="95">
        <f t="shared" ref="T67" si="182">T68+T69</f>
        <v>0</v>
      </c>
      <c r="U67" s="95">
        <f t="shared" ref="U67" si="183">U68+U69</f>
        <v>0</v>
      </c>
      <c r="V67" s="95">
        <f t="shared" ref="V67" si="184">V68+V69</f>
        <v>0</v>
      </c>
      <c r="W67" s="95">
        <f t="shared" ref="W67" si="185">W68+W69</f>
        <v>0</v>
      </c>
      <c r="X67" s="95">
        <f t="shared" ref="X67" si="186">X68+X69</f>
        <v>0</v>
      </c>
      <c r="Y67" s="95">
        <f t="shared" ref="Y67" si="187">Y68+Y69</f>
        <v>0</v>
      </c>
      <c r="Z67" s="95">
        <f t="shared" ref="Z67" si="188">Z68+Z69</f>
        <v>0</v>
      </c>
      <c r="AA67" s="95">
        <f t="shared" ref="AA67" si="189">AA68+AA69</f>
        <v>0</v>
      </c>
      <c r="AB67" s="95">
        <f t="shared" ref="AB67" si="190">AB68+AB69</f>
        <v>0</v>
      </c>
      <c r="AC67" s="95">
        <f t="shared" ref="AC67" si="191">AC68+AC69</f>
        <v>0</v>
      </c>
      <c r="AD67" s="32">
        <f t="shared" si="137"/>
        <v>43232.596999999994</v>
      </c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</row>
    <row r="68" spans="1:248" ht="17.25" customHeight="1">
      <c r="A68" s="34"/>
      <c r="B68" s="13" t="s">
        <v>30</v>
      </c>
      <c r="C68" s="38"/>
      <c r="D68" s="38"/>
      <c r="E68" s="38"/>
      <c r="F68" s="38">
        <f>H68+I68+AD68</f>
        <v>45416.216999999997</v>
      </c>
      <c r="G68" s="38">
        <v>0</v>
      </c>
      <c r="H68" s="38">
        <v>0</v>
      </c>
      <c r="I68" s="38">
        <f t="shared" si="178"/>
        <v>15082.203</v>
      </c>
      <c r="J68" s="16">
        <v>0</v>
      </c>
      <c r="K68" s="16">
        <v>0</v>
      </c>
      <c r="L68" s="49">
        <v>0</v>
      </c>
      <c r="M68" s="17">
        <v>39.36</v>
      </c>
      <c r="N68" s="100">
        <v>415.04299999999995</v>
      </c>
      <c r="O68" s="100">
        <v>14627.8</v>
      </c>
      <c r="P68" s="100">
        <v>19276.776999999998</v>
      </c>
      <c r="Q68" s="100">
        <v>11057.236999999999</v>
      </c>
      <c r="R68" s="93">
        <v>0</v>
      </c>
      <c r="S68" s="9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32">
        <f t="shared" si="137"/>
        <v>30334.013999999996</v>
      </c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</row>
    <row r="69" spans="1:248" ht="17.25" customHeight="1">
      <c r="A69" s="34"/>
      <c r="B69" s="43" t="s">
        <v>38</v>
      </c>
      <c r="C69" s="38"/>
      <c r="D69" s="38"/>
      <c r="E69" s="38"/>
      <c r="F69" s="38">
        <f>H69+I69+AD69</f>
        <v>18791.782999999999</v>
      </c>
      <c r="G69" s="38">
        <v>0</v>
      </c>
      <c r="H69" s="38">
        <v>0</v>
      </c>
      <c r="I69" s="38">
        <f t="shared" si="178"/>
        <v>5893.2</v>
      </c>
      <c r="J69" s="16">
        <v>0</v>
      </c>
      <c r="K69" s="16">
        <v>0</v>
      </c>
      <c r="L69" s="49">
        <v>0</v>
      </c>
      <c r="M69" s="49">
        <v>0</v>
      </c>
      <c r="N69" s="98">
        <v>0</v>
      </c>
      <c r="O69" s="98">
        <v>5893.2</v>
      </c>
      <c r="P69" s="99">
        <v>7955.82</v>
      </c>
      <c r="Q69" s="99">
        <v>4942.7629999999999</v>
      </c>
      <c r="R69" s="94">
        <v>0</v>
      </c>
      <c r="S69" s="9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32">
        <f t="shared" si="137"/>
        <v>12898.582999999999</v>
      </c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</row>
    <row r="70" spans="1:248" ht="21.75" customHeight="1">
      <c r="A70" s="25">
        <v>22</v>
      </c>
      <c r="B70" s="28" t="s">
        <v>85</v>
      </c>
      <c r="C70" s="29" t="s">
        <v>86</v>
      </c>
      <c r="D70" s="30" t="s">
        <v>87</v>
      </c>
      <c r="E70" s="31">
        <f>F71</f>
        <v>33000</v>
      </c>
      <c r="F70" s="32">
        <f>F71</f>
        <v>33000</v>
      </c>
      <c r="G70" s="33">
        <f>G71</f>
        <v>0</v>
      </c>
      <c r="H70" s="33">
        <f>H71</f>
        <v>0</v>
      </c>
      <c r="I70" s="33">
        <f t="shared" si="178"/>
        <v>6600</v>
      </c>
      <c r="J70" s="32">
        <f>J71</f>
        <v>0</v>
      </c>
      <c r="K70" s="32">
        <f t="shared" ref="K70:M70" si="192">K71</f>
        <v>0</v>
      </c>
      <c r="L70" s="32">
        <f t="shared" si="192"/>
        <v>0</v>
      </c>
      <c r="M70" s="32">
        <f t="shared" si="192"/>
        <v>0</v>
      </c>
      <c r="N70" s="95">
        <f>N71</f>
        <v>93</v>
      </c>
      <c r="O70" s="95">
        <f t="shared" ref="O70:Q70" si="193">O71</f>
        <v>6507</v>
      </c>
      <c r="P70" s="95">
        <f t="shared" si="193"/>
        <v>6600</v>
      </c>
      <c r="Q70" s="95">
        <f t="shared" si="193"/>
        <v>0</v>
      </c>
      <c r="R70" s="95">
        <v>19800</v>
      </c>
      <c r="S70" s="95">
        <f>S71</f>
        <v>0</v>
      </c>
      <c r="T70" s="95">
        <f t="shared" ref="T70:AC70" si="194">T71</f>
        <v>19800</v>
      </c>
      <c r="U70" s="95">
        <f t="shared" si="194"/>
        <v>0</v>
      </c>
      <c r="V70" s="95">
        <f t="shared" si="194"/>
        <v>0</v>
      </c>
      <c r="W70" s="95">
        <f t="shared" si="194"/>
        <v>0</v>
      </c>
      <c r="X70" s="95">
        <f t="shared" si="194"/>
        <v>0</v>
      </c>
      <c r="Y70" s="95">
        <f t="shared" si="194"/>
        <v>0</v>
      </c>
      <c r="Z70" s="95">
        <f t="shared" si="194"/>
        <v>0</v>
      </c>
      <c r="AA70" s="95">
        <f t="shared" si="194"/>
        <v>0</v>
      </c>
      <c r="AB70" s="95">
        <f t="shared" si="194"/>
        <v>0</v>
      </c>
      <c r="AC70" s="95">
        <f t="shared" si="194"/>
        <v>0</v>
      </c>
      <c r="AD70" s="32">
        <f t="shared" si="137"/>
        <v>26400</v>
      </c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1"/>
      <c r="IN70" s="41"/>
    </row>
    <row r="71" spans="1:248" ht="17.25" customHeight="1">
      <c r="A71" s="34"/>
      <c r="B71" s="13" t="s">
        <v>30</v>
      </c>
      <c r="C71" s="35"/>
      <c r="D71" s="36"/>
      <c r="E71" s="37"/>
      <c r="F71" s="38">
        <f>H71+I71+AD71</f>
        <v>33000</v>
      </c>
      <c r="G71" s="39">
        <v>0</v>
      </c>
      <c r="H71" s="38">
        <v>0</v>
      </c>
      <c r="I71" s="38">
        <f t="shared" si="178"/>
        <v>6600</v>
      </c>
      <c r="J71" s="38">
        <v>0</v>
      </c>
      <c r="K71" s="38">
        <v>0</v>
      </c>
      <c r="L71" s="48">
        <v>0</v>
      </c>
      <c r="M71" s="48">
        <v>0</v>
      </c>
      <c r="N71" s="93">
        <v>93</v>
      </c>
      <c r="O71" s="93">
        <v>6507</v>
      </c>
      <c r="P71" s="93">
        <v>6600</v>
      </c>
      <c r="Q71" s="93">
        <v>0</v>
      </c>
      <c r="R71" s="93">
        <v>19800</v>
      </c>
      <c r="S71" s="93">
        <v>0</v>
      </c>
      <c r="T71" s="93">
        <v>19800</v>
      </c>
      <c r="U71" s="93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2">
        <f t="shared" si="137"/>
        <v>26400</v>
      </c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2"/>
      <c r="IN71" s="13"/>
    </row>
    <row r="72" spans="1:248" ht="21.75" customHeight="1">
      <c r="A72" s="25">
        <v>23</v>
      </c>
      <c r="B72" s="42" t="s">
        <v>88</v>
      </c>
      <c r="C72" s="29" t="s">
        <v>39</v>
      </c>
      <c r="D72" s="50" t="s">
        <v>89</v>
      </c>
      <c r="E72" s="31">
        <f>F73</f>
        <v>19061</v>
      </c>
      <c r="F72" s="32">
        <f>F73+F74</f>
        <v>22161</v>
      </c>
      <c r="G72" s="32">
        <f>G73+G74</f>
        <v>0</v>
      </c>
      <c r="H72" s="32">
        <f>H73+H74</f>
        <v>0</v>
      </c>
      <c r="I72" s="33">
        <f t="shared" si="178"/>
        <v>61</v>
      </c>
      <c r="J72" s="32">
        <f t="shared" ref="J72:M72" si="195">J73+J74</f>
        <v>0</v>
      </c>
      <c r="K72" s="32">
        <f t="shared" si="195"/>
        <v>0</v>
      </c>
      <c r="L72" s="32">
        <f t="shared" si="195"/>
        <v>0</v>
      </c>
      <c r="M72" s="32">
        <f t="shared" si="195"/>
        <v>61</v>
      </c>
      <c r="N72" s="95">
        <f>N73+N74</f>
        <v>0</v>
      </c>
      <c r="O72" s="95">
        <f t="shared" ref="O72:Q72" si="196">O73+O74</f>
        <v>0</v>
      </c>
      <c r="P72" s="95">
        <f t="shared" si="196"/>
        <v>0</v>
      </c>
      <c r="Q72" s="95">
        <f t="shared" si="196"/>
        <v>0</v>
      </c>
      <c r="R72" s="95">
        <v>22100</v>
      </c>
      <c r="S72" s="95">
        <f t="shared" ref="S72" si="197">S73+S74</f>
        <v>22100</v>
      </c>
      <c r="T72" s="95">
        <f t="shared" ref="T72" si="198">T73+T74</f>
        <v>0</v>
      </c>
      <c r="U72" s="95">
        <f t="shared" ref="U72" si="199">U73+U74</f>
        <v>0</v>
      </c>
      <c r="V72" s="95">
        <f t="shared" ref="V72" si="200">V73+V74</f>
        <v>0</v>
      </c>
      <c r="W72" s="95">
        <f t="shared" ref="W72" si="201">W73+W74</f>
        <v>0</v>
      </c>
      <c r="X72" s="95">
        <f t="shared" ref="X72" si="202">X73+X74</f>
        <v>0</v>
      </c>
      <c r="Y72" s="95">
        <f t="shared" ref="Y72" si="203">Y73+Y74</f>
        <v>0</v>
      </c>
      <c r="Z72" s="95">
        <f t="shared" ref="Z72" si="204">Z73+Z74</f>
        <v>0</v>
      </c>
      <c r="AA72" s="95">
        <f t="shared" ref="AA72" si="205">AA73+AA74</f>
        <v>0</v>
      </c>
      <c r="AB72" s="95">
        <f t="shared" ref="AB72" si="206">AB73+AB74</f>
        <v>0</v>
      </c>
      <c r="AC72" s="95">
        <f t="shared" ref="AC72" si="207">AC73+AC74</f>
        <v>0</v>
      </c>
      <c r="AD72" s="32">
        <f t="shared" si="137"/>
        <v>22100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</row>
    <row r="73" spans="1:248" ht="17.25" customHeight="1">
      <c r="A73" s="34"/>
      <c r="B73" s="13" t="s">
        <v>30</v>
      </c>
      <c r="C73" s="35"/>
      <c r="D73" s="36"/>
      <c r="E73" s="37"/>
      <c r="F73" s="38">
        <f>H73+I73+AD73</f>
        <v>19061</v>
      </c>
      <c r="G73" s="39">
        <v>0</v>
      </c>
      <c r="H73" s="38">
        <v>0</v>
      </c>
      <c r="I73" s="38">
        <f t="shared" si="178"/>
        <v>61</v>
      </c>
      <c r="J73" s="38">
        <v>0</v>
      </c>
      <c r="K73" s="38">
        <v>0</v>
      </c>
      <c r="L73" s="38">
        <v>0</v>
      </c>
      <c r="M73" s="38">
        <v>61</v>
      </c>
      <c r="N73" s="94">
        <v>0</v>
      </c>
      <c r="O73" s="94">
        <v>0</v>
      </c>
      <c r="P73" s="94">
        <v>0</v>
      </c>
      <c r="Q73" s="94">
        <v>0</v>
      </c>
      <c r="R73" s="94">
        <v>19000</v>
      </c>
      <c r="S73" s="94">
        <v>19000</v>
      </c>
      <c r="T73" s="38">
        <v>0</v>
      </c>
      <c r="U73" s="94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2">
        <f t="shared" si="137"/>
        <v>19000</v>
      </c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</row>
    <row r="74" spans="1:248" ht="17.25" customHeight="1">
      <c r="A74" s="34"/>
      <c r="B74" s="13" t="s">
        <v>31</v>
      </c>
      <c r="C74" s="35"/>
      <c r="D74" s="36"/>
      <c r="E74" s="37"/>
      <c r="F74" s="38">
        <f>H74+I74+AD74</f>
        <v>3100</v>
      </c>
      <c r="G74" s="39">
        <v>0</v>
      </c>
      <c r="H74" s="38">
        <v>0</v>
      </c>
      <c r="I74" s="38">
        <f t="shared" si="178"/>
        <v>0</v>
      </c>
      <c r="J74" s="38">
        <v>0</v>
      </c>
      <c r="K74" s="38">
        <v>0</v>
      </c>
      <c r="L74" s="38">
        <v>0</v>
      </c>
      <c r="M74" s="38">
        <v>0</v>
      </c>
      <c r="N74" s="94">
        <v>0</v>
      </c>
      <c r="O74" s="94">
        <v>0</v>
      </c>
      <c r="P74" s="94">
        <v>0</v>
      </c>
      <c r="Q74" s="94">
        <v>0</v>
      </c>
      <c r="R74" s="94">
        <v>3100</v>
      </c>
      <c r="S74" s="94">
        <v>3100</v>
      </c>
      <c r="T74" s="38">
        <v>0</v>
      </c>
      <c r="U74" s="94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2">
        <f t="shared" si="137"/>
        <v>3100</v>
      </c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</row>
    <row r="75" spans="1:248" ht="27.75" customHeight="1">
      <c r="A75" s="25">
        <v>24</v>
      </c>
      <c r="B75" s="28" t="s">
        <v>90</v>
      </c>
      <c r="C75" s="29" t="s">
        <v>91</v>
      </c>
      <c r="D75" s="30" t="s">
        <v>47</v>
      </c>
      <c r="E75" s="31">
        <f>F76</f>
        <v>91868.615000000005</v>
      </c>
      <c r="F75" s="32">
        <f>F76+F77+F78</f>
        <v>199409.666</v>
      </c>
      <c r="G75" s="33">
        <v>0</v>
      </c>
      <c r="H75" s="33">
        <v>0</v>
      </c>
      <c r="I75" s="33">
        <f t="shared" ref="I75:I91" si="208">SUM(K75:O75)</f>
        <v>69016.703999999998</v>
      </c>
      <c r="J75" s="32">
        <v>0</v>
      </c>
      <c r="K75" s="32">
        <v>0</v>
      </c>
      <c r="L75" s="32">
        <v>195.91500000000002</v>
      </c>
      <c r="M75" s="33">
        <f>M76+M77+M78</f>
        <v>540</v>
      </c>
      <c r="N75" s="96">
        <f>N76+N77+N78</f>
        <v>20189.228999999999</v>
      </c>
      <c r="O75" s="96">
        <f t="shared" ref="O75:Q75" si="209">O76+O77+O78</f>
        <v>48091.56</v>
      </c>
      <c r="P75" s="96">
        <f t="shared" si="209"/>
        <v>49704.641000000003</v>
      </c>
      <c r="Q75" s="96">
        <f t="shared" si="209"/>
        <v>0</v>
      </c>
      <c r="R75" s="95">
        <v>110030.89</v>
      </c>
      <c r="S75" s="95">
        <f t="shared" ref="S75" si="210">S76+S77</f>
        <v>56810.89</v>
      </c>
      <c r="T75" s="95">
        <f t="shared" ref="T75" si="211">T76+T77</f>
        <v>53220</v>
      </c>
      <c r="U75" s="95">
        <f t="shared" ref="U75" si="212">U76+U77</f>
        <v>0</v>
      </c>
      <c r="V75" s="95">
        <f t="shared" ref="V75" si="213">V76+V77</f>
        <v>0</v>
      </c>
      <c r="W75" s="95">
        <f t="shared" ref="W75" si="214">W76+W77</f>
        <v>0</v>
      </c>
      <c r="X75" s="95">
        <f t="shared" ref="X75" si="215">X76+X77</f>
        <v>0</v>
      </c>
      <c r="Y75" s="95">
        <f t="shared" ref="Y75" si="216">Y76+Y77</f>
        <v>0</v>
      </c>
      <c r="Z75" s="95">
        <f t="shared" ref="Z75" si="217">Z76+Z77</f>
        <v>0</v>
      </c>
      <c r="AA75" s="95">
        <f t="shared" ref="AA75" si="218">AA76+AA77</f>
        <v>0</v>
      </c>
      <c r="AB75" s="95">
        <f t="shared" ref="AB75" si="219">AB76+AB77</f>
        <v>0</v>
      </c>
      <c r="AC75" s="95">
        <f t="shared" ref="AC75" si="220">AC76+AC77</f>
        <v>0</v>
      </c>
      <c r="AD75" s="32">
        <f t="shared" si="137"/>
        <v>159735.53100000002</v>
      </c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</row>
    <row r="76" spans="1:248" ht="17.25" customHeight="1">
      <c r="A76" s="34"/>
      <c r="B76" s="13" t="s">
        <v>30</v>
      </c>
      <c r="C76" s="35"/>
      <c r="D76" s="36"/>
      <c r="E76" s="37"/>
      <c r="F76" s="38">
        <f>H76+I76+AD76</f>
        <v>91868.615000000005</v>
      </c>
      <c r="G76" s="39">
        <v>0</v>
      </c>
      <c r="H76" s="38">
        <v>0</v>
      </c>
      <c r="I76" s="38">
        <f t="shared" si="208"/>
        <v>33036.127</v>
      </c>
      <c r="J76" s="38">
        <v>0</v>
      </c>
      <c r="K76" s="38">
        <v>0</v>
      </c>
      <c r="L76" s="38">
        <v>89.715000000000003</v>
      </c>
      <c r="M76" s="38">
        <v>224</v>
      </c>
      <c r="N76" s="94">
        <v>4459.6229999999996</v>
      </c>
      <c r="O76" s="94">
        <v>28262.789000000001</v>
      </c>
      <c r="P76" s="94">
        <v>27465.239000000001</v>
      </c>
      <c r="Q76" s="94">
        <v>0</v>
      </c>
      <c r="R76" s="94">
        <v>31367.249000000003</v>
      </c>
      <c r="S76" s="94">
        <v>31367.249000000003</v>
      </c>
      <c r="T76" s="94">
        <v>29342.569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2">
        <f t="shared" si="137"/>
        <v>58832.488000000005</v>
      </c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</row>
    <row r="77" spans="1:248" ht="17.25" customHeight="1">
      <c r="A77" s="34"/>
      <c r="B77" s="43" t="s">
        <v>38</v>
      </c>
      <c r="C77" s="35"/>
      <c r="D77" s="36"/>
      <c r="E77" s="37"/>
      <c r="F77" s="38">
        <f>H77+I77+AD77</f>
        <v>98739.570999999996</v>
      </c>
      <c r="G77" s="39">
        <v>0</v>
      </c>
      <c r="H77" s="38">
        <v>0</v>
      </c>
      <c r="I77" s="38">
        <f t="shared" si="208"/>
        <v>27179.097000000002</v>
      </c>
      <c r="J77" s="38">
        <v>0</v>
      </c>
      <c r="K77" s="38">
        <v>0</v>
      </c>
      <c r="L77" s="38">
        <v>106.2</v>
      </c>
      <c r="M77" s="38">
        <v>316</v>
      </c>
      <c r="N77" s="94">
        <v>6928.1260000000002</v>
      </c>
      <c r="O77" s="94">
        <v>19828.771000000001</v>
      </c>
      <c r="P77" s="94">
        <v>22239.401999999998</v>
      </c>
      <c r="Q77" s="94">
        <v>0</v>
      </c>
      <c r="R77" s="94">
        <v>49321.072</v>
      </c>
      <c r="S77" s="94">
        <v>25443.641</v>
      </c>
      <c r="T77" s="38">
        <v>23877.431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2">
        <f t="shared" si="137"/>
        <v>71560.474000000002</v>
      </c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</row>
    <row r="78" spans="1:248" ht="17.25" customHeight="1">
      <c r="A78" s="34"/>
      <c r="B78" s="13" t="s">
        <v>31</v>
      </c>
      <c r="C78" s="35"/>
      <c r="D78" s="36"/>
      <c r="E78" s="37"/>
      <c r="F78" s="38">
        <f>H78+I78+AD78</f>
        <v>8801.48</v>
      </c>
      <c r="G78" s="39"/>
      <c r="H78" s="38"/>
      <c r="I78" s="38">
        <f t="shared" si="208"/>
        <v>8801.48</v>
      </c>
      <c r="J78" s="38"/>
      <c r="K78" s="38">
        <v>0</v>
      </c>
      <c r="L78" s="38">
        <v>0</v>
      </c>
      <c r="M78" s="38">
        <f>801.48-801.48</f>
        <v>0</v>
      </c>
      <c r="N78" s="94">
        <v>8801.48</v>
      </c>
      <c r="O78" s="94">
        <v>0</v>
      </c>
      <c r="P78" s="94">
        <v>0</v>
      </c>
      <c r="Q78" s="94">
        <v>0</v>
      </c>
      <c r="R78" s="94">
        <v>0</v>
      </c>
      <c r="S78" s="94"/>
      <c r="T78" s="38"/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2">
        <f t="shared" si="137"/>
        <v>0</v>
      </c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</row>
    <row r="79" spans="1:248" ht="24.75" customHeight="1">
      <c r="A79" s="25">
        <v>25</v>
      </c>
      <c r="B79" s="28" t="s">
        <v>92</v>
      </c>
      <c r="C79" s="29" t="s">
        <v>270</v>
      </c>
      <c r="D79" s="30" t="s">
        <v>261</v>
      </c>
      <c r="E79" s="31">
        <f>F80</f>
        <v>133594.568</v>
      </c>
      <c r="F79" s="32">
        <f>F80+F81+F82</f>
        <v>197146.91899999999</v>
      </c>
      <c r="G79" s="33">
        <v>0</v>
      </c>
      <c r="H79" s="33">
        <v>0</v>
      </c>
      <c r="I79" s="33">
        <f t="shared" si="208"/>
        <v>15797.26</v>
      </c>
      <c r="J79" s="32">
        <v>0</v>
      </c>
      <c r="K79" s="32">
        <v>0</v>
      </c>
      <c r="L79" s="32">
        <v>0</v>
      </c>
      <c r="M79" s="32">
        <f>M80+M81+M82</f>
        <v>0</v>
      </c>
      <c r="N79" s="95">
        <f>N80+N81+N82</f>
        <v>225.15199999999999</v>
      </c>
      <c r="O79" s="95">
        <f t="shared" ref="O79:Q79" si="221">O80+O81+O82</f>
        <v>15572.108</v>
      </c>
      <c r="P79" s="95">
        <f t="shared" si="221"/>
        <v>59107.258999999998</v>
      </c>
      <c r="Q79" s="95">
        <f t="shared" si="221"/>
        <v>2008.4</v>
      </c>
      <c r="R79" s="95">
        <v>120234.00000000001</v>
      </c>
      <c r="S79" s="95">
        <f>S80+S81+S82</f>
        <v>46100.800000000003</v>
      </c>
      <c r="T79" s="95">
        <f t="shared" ref="T79:AC79" si="222">T80+T81+T82</f>
        <v>74133.200000000012</v>
      </c>
      <c r="U79" s="95">
        <f t="shared" si="222"/>
        <v>0</v>
      </c>
      <c r="V79" s="95">
        <f t="shared" si="222"/>
        <v>0</v>
      </c>
      <c r="W79" s="95">
        <f t="shared" si="222"/>
        <v>0</v>
      </c>
      <c r="X79" s="95">
        <f t="shared" si="222"/>
        <v>0</v>
      </c>
      <c r="Y79" s="95">
        <f t="shared" si="222"/>
        <v>0</v>
      </c>
      <c r="Z79" s="95">
        <f t="shared" si="222"/>
        <v>0</v>
      </c>
      <c r="AA79" s="95">
        <f t="shared" si="222"/>
        <v>0</v>
      </c>
      <c r="AB79" s="95">
        <f t="shared" si="222"/>
        <v>0</v>
      </c>
      <c r="AC79" s="95">
        <f t="shared" si="222"/>
        <v>0</v>
      </c>
      <c r="AD79" s="32">
        <f t="shared" si="137"/>
        <v>181349.65900000001</v>
      </c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</row>
    <row r="80" spans="1:248" ht="17.25" customHeight="1">
      <c r="A80" s="34"/>
      <c r="B80" s="13" t="s">
        <v>30</v>
      </c>
      <c r="C80" s="35"/>
      <c r="D80" s="36"/>
      <c r="E80" s="37"/>
      <c r="F80" s="38">
        <f>H80+I80+AD80</f>
        <v>133594.568</v>
      </c>
      <c r="G80" s="39">
        <v>0</v>
      </c>
      <c r="H80" s="38">
        <v>0</v>
      </c>
      <c r="I80" s="38">
        <f t="shared" si="208"/>
        <v>15797.26</v>
      </c>
      <c r="J80" s="38">
        <v>0</v>
      </c>
      <c r="K80" s="38">
        <v>0</v>
      </c>
      <c r="L80" s="38">
        <v>0</v>
      </c>
      <c r="M80" s="38">
        <v>0</v>
      </c>
      <c r="N80" s="94">
        <v>225.15199999999999</v>
      </c>
      <c r="O80" s="94">
        <v>15572.108</v>
      </c>
      <c r="P80" s="94">
        <v>59107.258999999998</v>
      </c>
      <c r="Q80" s="94">
        <v>2000</v>
      </c>
      <c r="R80" s="94">
        <v>56690.048999999999</v>
      </c>
      <c r="S80" s="94">
        <v>21732.93</v>
      </c>
      <c r="T80" s="38">
        <v>34957.118999999999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2">
        <f t="shared" si="137"/>
        <v>117797.30799999999</v>
      </c>
    </row>
    <row r="81" spans="1:248" ht="17.25" customHeight="1">
      <c r="A81" s="34"/>
      <c r="B81" s="43" t="s">
        <v>38</v>
      </c>
      <c r="C81" s="35"/>
      <c r="D81" s="36"/>
      <c r="E81" s="37"/>
      <c r="F81" s="38">
        <f>H81+I81+AD81</f>
        <v>63531.951000000001</v>
      </c>
      <c r="G81" s="39">
        <v>0</v>
      </c>
      <c r="H81" s="38">
        <v>0</v>
      </c>
      <c r="I81" s="38">
        <f t="shared" si="208"/>
        <v>0</v>
      </c>
      <c r="J81" s="38">
        <v>0</v>
      </c>
      <c r="K81" s="38">
        <v>0</v>
      </c>
      <c r="L81" s="38">
        <v>0</v>
      </c>
      <c r="M81" s="38">
        <v>0</v>
      </c>
      <c r="N81" s="94">
        <v>0</v>
      </c>
      <c r="O81" s="94">
        <v>0</v>
      </c>
      <c r="P81" s="94">
        <v>0</v>
      </c>
      <c r="Q81" s="94">
        <v>0</v>
      </c>
      <c r="R81" s="94">
        <v>63531.951000000001</v>
      </c>
      <c r="S81" s="94">
        <v>24355.87</v>
      </c>
      <c r="T81" s="38">
        <v>39176.081000000006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2">
        <f t="shared" si="137"/>
        <v>63531.951000000001</v>
      </c>
    </row>
    <row r="82" spans="1:248" ht="17.25" customHeight="1">
      <c r="A82" s="34"/>
      <c r="B82" s="13" t="s">
        <v>31</v>
      </c>
      <c r="C82" s="35"/>
      <c r="D82" s="36"/>
      <c r="E82" s="37"/>
      <c r="F82" s="38">
        <f>H82+I82+AD82</f>
        <v>20.399999999999999</v>
      </c>
      <c r="G82" s="39"/>
      <c r="H82" s="38"/>
      <c r="I82" s="38">
        <f t="shared" si="208"/>
        <v>0</v>
      </c>
      <c r="J82" s="38"/>
      <c r="K82" s="38">
        <v>0</v>
      </c>
      <c r="L82" s="38">
        <v>0</v>
      </c>
      <c r="M82" s="38">
        <v>0</v>
      </c>
      <c r="N82" s="94">
        <v>0</v>
      </c>
      <c r="O82" s="94">
        <v>0</v>
      </c>
      <c r="P82" s="94">
        <v>0</v>
      </c>
      <c r="Q82" s="94">
        <v>8.4</v>
      </c>
      <c r="R82" s="94">
        <v>12</v>
      </c>
      <c r="S82" s="94">
        <v>12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2">
        <f t="shared" si="137"/>
        <v>20.399999999999999</v>
      </c>
    </row>
    <row r="83" spans="1:248" ht="27" customHeight="1">
      <c r="A83" s="25">
        <v>26</v>
      </c>
      <c r="B83" s="28" t="s">
        <v>93</v>
      </c>
      <c r="C83" s="29" t="s">
        <v>94</v>
      </c>
      <c r="D83" s="30" t="s">
        <v>273</v>
      </c>
      <c r="E83" s="31">
        <f>F84</f>
        <v>20301.825000000001</v>
      </c>
      <c r="F83" s="32">
        <f>F84+F85+F86</f>
        <v>24492.296999999999</v>
      </c>
      <c r="G83" s="33">
        <v>789</v>
      </c>
      <c r="H83" s="33">
        <v>789</v>
      </c>
      <c r="I83" s="33">
        <f t="shared" si="208"/>
        <v>8425.2970000000005</v>
      </c>
      <c r="J83" s="32">
        <v>0</v>
      </c>
      <c r="K83" s="33">
        <v>0</v>
      </c>
      <c r="L83" s="32">
        <v>0</v>
      </c>
      <c r="M83" s="32">
        <v>0</v>
      </c>
      <c r="N83" s="95">
        <f>N84+N85+N86</f>
        <v>565.29700000000003</v>
      </c>
      <c r="O83" s="95">
        <f t="shared" ref="O83:Q83" si="223">O84+O85+O86</f>
        <v>7860</v>
      </c>
      <c r="P83" s="95">
        <f t="shared" si="223"/>
        <v>15278</v>
      </c>
      <c r="Q83" s="95">
        <f t="shared" si="223"/>
        <v>0</v>
      </c>
      <c r="R83" s="95">
        <v>0</v>
      </c>
      <c r="S83" s="95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f t="shared" ref="Z83:AC83" si="224">Z84+Z85+Z86</f>
        <v>0</v>
      </c>
      <c r="AA83" s="32">
        <f t="shared" si="224"/>
        <v>0</v>
      </c>
      <c r="AB83" s="32">
        <f t="shared" si="224"/>
        <v>0</v>
      </c>
      <c r="AC83" s="32">
        <f t="shared" si="224"/>
        <v>0</v>
      </c>
      <c r="AD83" s="32">
        <f t="shared" si="137"/>
        <v>15278</v>
      </c>
    </row>
    <row r="84" spans="1:248" ht="17.25" customHeight="1">
      <c r="A84" s="34"/>
      <c r="B84" s="13" t="s">
        <v>30</v>
      </c>
      <c r="C84" s="35"/>
      <c r="D84" s="36"/>
      <c r="E84" s="37"/>
      <c r="F84" s="38">
        <f>H84+I84+AD84</f>
        <v>20301.825000000001</v>
      </c>
      <c r="G84" s="39">
        <v>789</v>
      </c>
      <c r="H84" s="38">
        <v>789</v>
      </c>
      <c r="I84" s="38">
        <f t="shared" si="208"/>
        <v>4234.8249999999998</v>
      </c>
      <c r="J84" s="38">
        <v>0</v>
      </c>
      <c r="K84" s="38">
        <v>0</v>
      </c>
      <c r="L84" s="38">
        <v>0</v>
      </c>
      <c r="M84" s="44">
        <v>0</v>
      </c>
      <c r="N84" s="93">
        <v>334.82499999999999</v>
      </c>
      <c r="O84" s="93">
        <v>3900</v>
      </c>
      <c r="P84" s="94">
        <v>15278</v>
      </c>
      <c r="Q84" s="94">
        <v>0</v>
      </c>
      <c r="R84" s="94">
        <v>0</v>
      </c>
      <c r="S84" s="94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2">
        <f t="shared" si="137"/>
        <v>15278</v>
      </c>
    </row>
    <row r="85" spans="1:248" ht="17.25" customHeight="1">
      <c r="A85" s="34"/>
      <c r="B85" s="121" t="s">
        <v>38</v>
      </c>
      <c r="C85" s="35"/>
      <c r="D85" s="36"/>
      <c r="E85" s="37"/>
      <c r="F85" s="38">
        <f>H85+I85+AD85</f>
        <v>0</v>
      </c>
      <c r="G85" s="39"/>
      <c r="H85" s="38"/>
      <c r="I85" s="38">
        <f t="shared" si="208"/>
        <v>0</v>
      </c>
      <c r="J85" s="38"/>
      <c r="K85" s="38">
        <v>0</v>
      </c>
      <c r="L85" s="38">
        <v>0</v>
      </c>
      <c r="M85" s="44">
        <v>0</v>
      </c>
      <c r="N85" s="97">
        <v>0</v>
      </c>
      <c r="O85" s="94">
        <v>0</v>
      </c>
      <c r="P85" s="94">
        <v>0</v>
      </c>
      <c r="Q85" s="94">
        <v>0</v>
      </c>
      <c r="R85" s="94">
        <v>0</v>
      </c>
      <c r="S85" s="94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2">
        <f t="shared" si="137"/>
        <v>0</v>
      </c>
    </row>
    <row r="86" spans="1:248" ht="17.25" customHeight="1">
      <c r="A86" s="34"/>
      <c r="B86" s="13" t="s">
        <v>31</v>
      </c>
      <c r="C86" s="35"/>
      <c r="D86" s="36"/>
      <c r="E86" s="37"/>
      <c r="F86" s="38">
        <f>H86+I86+AD86</f>
        <v>4190.4719999999998</v>
      </c>
      <c r="G86" s="39">
        <v>0</v>
      </c>
      <c r="H86" s="38">
        <v>0</v>
      </c>
      <c r="I86" s="38">
        <f t="shared" si="208"/>
        <v>4190.4719999999998</v>
      </c>
      <c r="J86" s="38">
        <v>0</v>
      </c>
      <c r="K86" s="38">
        <v>0</v>
      </c>
      <c r="L86" s="38">
        <v>0</v>
      </c>
      <c r="M86" s="44">
        <v>0</v>
      </c>
      <c r="N86" s="97">
        <v>230.47200000000001</v>
      </c>
      <c r="O86" s="94">
        <v>3960</v>
      </c>
      <c r="P86" s="94">
        <v>0</v>
      </c>
      <c r="Q86" s="94">
        <v>0</v>
      </c>
      <c r="R86" s="94">
        <v>0</v>
      </c>
      <c r="S86" s="94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2">
        <f t="shared" si="137"/>
        <v>0</v>
      </c>
    </row>
    <row r="87" spans="1:248" ht="45" customHeight="1">
      <c r="A87" s="25">
        <v>27</v>
      </c>
      <c r="B87" s="120" t="s">
        <v>300</v>
      </c>
      <c r="C87" s="29" t="s">
        <v>40</v>
      </c>
      <c r="D87" s="30" t="s">
        <v>133</v>
      </c>
      <c r="E87" s="31">
        <f>F88</f>
        <v>297.5</v>
      </c>
      <c r="F87" s="32">
        <f>F88+F89</f>
        <v>1700</v>
      </c>
      <c r="G87" s="32">
        <f>G88+G89</f>
        <v>0</v>
      </c>
      <c r="H87" s="32">
        <f>H88+H89</f>
        <v>0</v>
      </c>
      <c r="I87" s="33">
        <f t="shared" ref="I87:I89" si="225">SUM(K87:O87)</f>
        <v>1700</v>
      </c>
      <c r="J87" s="32">
        <f t="shared" ref="J87:M87" si="226">J88+J89</f>
        <v>0</v>
      </c>
      <c r="K87" s="32">
        <f t="shared" si="226"/>
        <v>0</v>
      </c>
      <c r="L87" s="32">
        <f t="shared" si="226"/>
        <v>0</v>
      </c>
      <c r="M87" s="32">
        <f t="shared" si="226"/>
        <v>0</v>
      </c>
      <c r="N87" s="95">
        <f>N88+N89</f>
        <v>0</v>
      </c>
      <c r="O87" s="95">
        <f t="shared" ref="O87:Q87" si="227">O88+O89</f>
        <v>1700</v>
      </c>
      <c r="P87" s="95">
        <f t="shared" si="227"/>
        <v>0</v>
      </c>
      <c r="Q87" s="95">
        <f t="shared" si="227"/>
        <v>0</v>
      </c>
      <c r="R87" s="95">
        <v>0</v>
      </c>
      <c r="S87" s="95">
        <f t="shared" ref="S87" si="228">S88+S89</f>
        <v>0</v>
      </c>
      <c r="T87" s="95">
        <f t="shared" ref="T87" si="229">T88+T89</f>
        <v>0</v>
      </c>
      <c r="U87" s="95">
        <f t="shared" ref="U87" si="230">U88+U89</f>
        <v>0</v>
      </c>
      <c r="V87" s="95">
        <f t="shared" ref="V87" si="231">V88+V89</f>
        <v>0</v>
      </c>
      <c r="W87" s="95">
        <f t="shared" ref="W87" si="232">W88+W89</f>
        <v>0</v>
      </c>
      <c r="X87" s="95">
        <f t="shared" ref="X87" si="233">X88+X89</f>
        <v>0</v>
      </c>
      <c r="Y87" s="95">
        <f t="shared" ref="Y87" si="234">Y88+Y89</f>
        <v>0</v>
      </c>
      <c r="Z87" s="95">
        <f t="shared" ref="Z87" si="235">Z88+Z89</f>
        <v>0</v>
      </c>
      <c r="AA87" s="95">
        <f t="shared" ref="AA87" si="236">AA88+AA89</f>
        <v>0</v>
      </c>
      <c r="AB87" s="95">
        <f t="shared" ref="AB87" si="237">AB88+AB89</f>
        <v>0</v>
      </c>
      <c r="AC87" s="95">
        <f t="shared" ref="AC87" si="238">AC88+AC89</f>
        <v>0</v>
      </c>
      <c r="AD87" s="32">
        <f t="shared" si="137"/>
        <v>0</v>
      </c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</row>
    <row r="88" spans="1:248" ht="17.25" customHeight="1">
      <c r="A88" s="34"/>
      <c r="B88" s="13" t="s">
        <v>30</v>
      </c>
      <c r="C88" s="38"/>
      <c r="D88" s="38"/>
      <c r="E88" s="38"/>
      <c r="F88" s="38">
        <f>H88+I88+AD88</f>
        <v>297.5</v>
      </c>
      <c r="G88" s="38">
        <v>0</v>
      </c>
      <c r="H88" s="38">
        <v>0</v>
      </c>
      <c r="I88" s="38">
        <f t="shared" si="225"/>
        <v>297.5</v>
      </c>
      <c r="J88" s="16">
        <v>0</v>
      </c>
      <c r="K88" s="16">
        <v>0</v>
      </c>
      <c r="L88" s="49">
        <v>0</v>
      </c>
      <c r="M88" s="17">
        <v>0</v>
      </c>
      <c r="N88" s="100">
        <v>0</v>
      </c>
      <c r="O88" s="93">
        <v>297.5</v>
      </c>
      <c r="P88" s="99">
        <v>0</v>
      </c>
      <c r="Q88" s="99">
        <v>0</v>
      </c>
      <c r="R88" s="94">
        <v>0</v>
      </c>
      <c r="S88" s="9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32">
        <f t="shared" si="137"/>
        <v>0</v>
      </c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</row>
    <row r="89" spans="1:248" ht="17.25" customHeight="1">
      <c r="A89" s="34"/>
      <c r="B89" s="43" t="s">
        <v>38</v>
      </c>
      <c r="C89" s="38"/>
      <c r="D89" s="38"/>
      <c r="E89" s="38"/>
      <c r="F89" s="38">
        <f>H89+I89+AD89</f>
        <v>1402.5</v>
      </c>
      <c r="G89" s="38">
        <v>0</v>
      </c>
      <c r="H89" s="38">
        <v>0</v>
      </c>
      <c r="I89" s="38">
        <f t="shared" si="225"/>
        <v>1402.5</v>
      </c>
      <c r="J89" s="16">
        <v>0</v>
      </c>
      <c r="K89" s="16">
        <v>0</v>
      </c>
      <c r="L89" s="49">
        <v>0</v>
      </c>
      <c r="M89" s="49">
        <v>0</v>
      </c>
      <c r="N89" s="100">
        <v>0</v>
      </c>
      <c r="O89" s="93">
        <v>1402.5</v>
      </c>
      <c r="P89" s="99">
        <v>0</v>
      </c>
      <c r="Q89" s="99">
        <v>0</v>
      </c>
      <c r="R89" s="94">
        <v>0</v>
      </c>
      <c r="S89" s="9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32">
        <f t="shared" si="137"/>
        <v>0</v>
      </c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</row>
    <row r="90" spans="1:248" ht="21.75" customHeight="1">
      <c r="A90" s="55">
        <v>28</v>
      </c>
      <c r="B90" s="41" t="s">
        <v>95</v>
      </c>
      <c r="C90" s="29" t="s">
        <v>45</v>
      </c>
      <c r="D90" s="30" t="s">
        <v>96</v>
      </c>
      <c r="E90" s="31">
        <f>F91</f>
        <v>56663.326000000001</v>
      </c>
      <c r="F90" s="32">
        <f>F91</f>
        <v>56663.326000000001</v>
      </c>
      <c r="G90" s="33">
        <v>0</v>
      </c>
      <c r="H90" s="33">
        <v>0</v>
      </c>
      <c r="I90" s="33">
        <f t="shared" si="208"/>
        <v>17213.326000000001</v>
      </c>
      <c r="J90" s="32">
        <f>J91</f>
        <v>0</v>
      </c>
      <c r="K90" s="32">
        <f t="shared" ref="K90:M90" si="239">K91</f>
        <v>0</v>
      </c>
      <c r="L90" s="32">
        <f t="shared" si="239"/>
        <v>0</v>
      </c>
      <c r="M90" s="32">
        <f t="shared" si="239"/>
        <v>565</v>
      </c>
      <c r="N90" s="95">
        <f>N91</f>
        <v>2333.33</v>
      </c>
      <c r="O90" s="95">
        <f t="shared" ref="O90:S90" si="240">O91</f>
        <v>14314.995999999999</v>
      </c>
      <c r="P90" s="95">
        <f t="shared" si="240"/>
        <v>19450</v>
      </c>
      <c r="Q90" s="95">
        <f t="shared" si="240"/>
        <v>20000</v>
      </c>
      <c r="R90" s="95">
        <v>0</v>
      </c>
      <c r="S90" s="95">
        <f t="shared" si="240"/>
        <v>0</v>
      </c>
      <c r="T90" s="95">
        <f t="shared" ref="T90" si="241">T91</f>
        <v>0</v>
      </c>
      <c r="U90" s="95">
        <f t="shared" ref="U90" si="242">U91</f>
        <v>0</v>
      </c>
      <c r="V90" s="95">
        <f t="shared" ref="V90" si="243">V91</f>
        <v>0</v>
      </c>
      <c r="W90" s="95">
        <f t="shared" ref="W90" si="244">W91</f>
        <v>0</v>
      </c>
      <c r="X90" s="95">
        <f t="shared" ref="X90" si="245">X91</f>
        <v>0</v>
      </c>
      <c r="Y90" s="95">
        <f t="shared" ref="Y90" si="246">Y91</f>
        <v>0</v>
      </c>
      <c r="Z90" s="95">
        <f t="shared" ref="Z90" si="247">Z91</f>
        <v>0</v>
      </c>
      <c r="AA90" s="95">
        <f t="shared" ref="AA90" si="248">AA91</f>
        <v>0</v>
      </c>
      <c r="AB90" s="95">
        <f t="shared" ref="AB90" si="249">AB91</f>
        <v>0</v>
      </c>
      <c r="AC90" s="95">
        <f t="shared" ref="AC90" si="250">AC91</f>
        <v>0</v>
      </c>
      <c r="AD90" s="32">
        <f t="shared" si="137"/>
        <v>39450</v>
      </c>
    </row>
    <row r="91" spans="1:248" ht="17.25" customHeight="1">
      <c r="A91" s="56"/>
      <c r="B91" s="13" t="s">
        <v>30</v>
      </c>
      <c r="C91" s="35"/>
      <c r="D91" s="36"/>
      <c r="E91" s="37"/>
      <c r="F91" s="38">
        <f>H91+I91+AD91</f>
        <v>56663.326000000001</v>
      </c>
      <c r="G91" s="39"/>
      <c r="H91" s="52">
        <v>0</v>
      </c>
      <c r="I91" s="38">
        <f t="shared" si="208"/>
        <v>17213.326000000001</v>
      </c>
      <c r="J91" s="38">
        <v>0</v>
      </c>
      <c r="K91" s="38">
        <v>0</v>
      </c>
      <c r="L91" s="38">
        <v>0</v>
      </c>
      <c r="M91" s="38">
        <v>565</v>
      </c>
      <c r="N91" s="93">
        <v>2333.33</v>
      </c>
      <c r="O91" s="93">
        <v>14314.995999999999</v>
      </c>
      <c r="P91" s="93">
        <v>19450</v>
      </c>
      <c r="Q91" s="93">
        <v>20000</v>
      </c>
      <c r="R91" s="94">
        <v>0</v>
      </c>
      <c r="S91" s="94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2">
        <f t="shared" si="137"/>
        <v>39450</v>
      </c>
    </row>
    <row r="92" spans="1:248" ht="21.75" customHeight="1">
      <c r="A92" s="57" t="s">
        <v>97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102"/>
      <c r="O92" s="102"/>
      <c r="P92" s="102"/>
      <c r="Q92" s="102"/>
      <c r="R92" s="102"/>
      <c r="S92" s="102"/>
      <c r="T92" s="9"/>
      <c r="U92" s="9"/>
      <c r="V92" s="9"/>
      <c r="W92" s="9"/>
      <c r="X92" s="9"/>
      <c r="Y92" s="9"/>
      <c r="Z92" s="9"/>
      <c r="AA92" s="9"/>
      <c r="AB92" s="9"/>
      <c r="AC92" s="9"/>
      <c r="AD92" s="32">
        <f t="shared" si="137"/>
        <v>0</v>
      </c>
    </row>
    <row r="93" spans="1:248" ht="21.75" customHeight="1">
      <c r="A93" s="25">
        <v>29</v>
      </c>
      <c r="B93" s="28" t="s">
        <v>98</v>
      </c>
      <c r="C93" s="29" t="s">
        <v>99</v>
      </c>
      <c r="D93" s="30" t="s">
        <v>100</v>
      </c>
      <c r="E93" s="31">
        <f>F94</f>
        <v>126666.34599999999</v>
      </c>
      <c r="F93" s="32">
        <f>F94+F96</f>
        <v>129378.37899999999</v>
      </c>
      <c r="G93" s="32">
        <f>G94+G96</f>
        <v>69500.98</v>
      </c>
      <c r="H93" s="32">
        <f>H94+H96</f>
        <v>76651.98</v>
      </c>
      <c r="I93" s="33">
        <f t="shared" ref="I93:I136" si="251">SUM(K93:O93)</f>
        <v>52726.398999999998</v>
      </c>
      <c r="J93" s="32">
        <f t="shared" ref="J93:M93" si="252">J94+J96</f>
        <v>7151</v>
      </c>
      <c r="K93" s="32">
        <f t="shared" si="252"/>
        <v>6482.9389999999994</v>
      </c>
      <c r="L93" s="32">
        <f t="shared" si="252"/>
        <v>13795.22</v>
      </c>
      <c r="M93" s="32">
        <f t="shared" si="252"/>
        <v>16604.474999999999</v>
      </c>
      <c r="N93" s="95">
        <f>N94+N95+N96</f>
        <v>15843.764999999999</v>
      </c>
      <c r="O93" s="95">
        <f t="shared" ref="O93:Q93" si="253">O94+O95+O96</f>
        <v>0</v>
      </c>
      <c r="P93" s="95">
        <f t="shared" si="253"/>
        <v>0</v>
      </c>
      <c r="Q93" s="95">
        <f t="shared" si="253"/>
        <v>0</v>
      </c>
      <c r="R93" s="95">
        <v>0</v>
      </c>
      <c r="S93" s="95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f t="shared" si="137"/>
        <v>0</v>
      </c>
    </row>
    <row r="94" spans="1:248" ht="17.25" customHeight="1">
      <c r="A94" s="45"/>
      <c r="B94" s="13" t="s">
        <v>30</v>
      </c>
      <c r="C94" s="35"/>
      <c r="D94" s="36"/>
      <c r="E94" s="37"/>
      <c r="F94" s="38">
        <f>H94+I94+AD94</f>
        <v>126666.34599999999</v>
      </c>
      <c r="G94" s="39">
        <v>69500.98</v>
      </c>
      <c r="H94" s="38">
        <v>76651.98</v>
      </c>
      <c r="I94" s="38">
        <f t="shared" si="251"/>
        <v>50014.365999999995</v>
      </c>
      <c r="J94" s="38">
        <v>7151</v>
      </c>
      <c r="K94" s="38">
        <v>5804.9319999999998</v>
      </c>
      <c r="L94" s="38">
        <v>11761.194</v>
      </c>
      <c r="M94" s="40">
        <f>19964.566-318-114.7-1520.144-198.247-990-123-96</f>
        <v>16604.474999999999</v>
      </c>
      <c r="N94" s="94">
        <v>15843.764999999999</v>
      </c>
      <c r="O94" s="94">
        <v>0</v>
      </c>
      <c r="P94" s="94">
        <v>0</v>
      </c>
      <c r="Q94" s="94">
        <v>0</v>
      </c>
      <c r="R94" s="94">
        <v>0</v>
      </c>
      <c r="S94" s="94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2">
        <f t="shared" si="137"/>
        <v>0</v>
      </c>
    </row>
    <row r="95" spans="1:248" ht="17.25" customHeight="1">
      <c r="A95" s="45"/>
      <c r="B95" s="121" t="s">
        <v>38</v>
      </c>
      <c r="C95" s="35"/>
      <c r="D95" s="36"/>
      <c r="E95" s="37"/>
      <c r="F95" s="38"/>
      <c r="G95" s="39"/>
      <c r="H95" s="38"/>
      <c r="I95" s="38"/>
      <c r="J95" s="38"/>
      <c r="K95" s="38"/>
      <c r="L95" s="38"/>
      <c r="M95" s="40"/>
      <c r="N95" s="94">
        <v>0</v>
      </c>
      <c r="O95" s="94"/>
      <c r="P95" s="94"/>
      <c r="Q95" s="94"/>
      <c r="R95" s="94"/>
      <c r="S95" s="9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2"/>
    </row>
    <row r="96" spans="1:248" ht="17.25" customHeight="1">
      <c r="A96" s="45"/>
      <c r="B96" s="13" t="s">
        <v>101</v>
      </c>
      <c r="C96" s="35"/>
      <c r="D96" s="36"/>
      <c r="E96" s="37"/>
      <c r="F96" s="38">
        <f>H96+I96+AD96</f>
        <v>2712.0329999999999</v>
      </c>
      <c r="G96" s="39">
        <v>0</v>
      </c>
      <c r="H96" s="38">
        <v>0</v>
      </c>
      <c r="I96" s="38">
        <f t="shared" si="251"/>
        <v>2712.0329999999999</v>
      </c>
      <c r="J96" s="38">
        <v>0</v>
      </c>
      <c r="K96" s="38">
        <v>678.00699999999995</v>
      </c>
      <c r="L96" s="38">
        <v>2034.0260000000001</v>
      </c>
      <c r="M96" s="38">
        <v>0</v>
      </c>
      <c r="N96" s="94">
        <v>0</v>
      </c>
      <c r="O96" s="94">
        <v>0</v>
      </c>
      <c r="P96" s="94">
        <v>0</v>
      </c>
      <c r="Q96" s="94">
        <v>0</v>
      </c>
      <c r="R96" s="94">
        <v>0</v>
      </c>
      <c r="S96" s="94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2">
        <f t="shared" ref="AD96:AD135" si="254">P96+Q96+R96</f>
        <v>0</v>
      </c>
    </row>
    <row r="97" spans="1:30" ht="38.25" customHeight="1">
      <c r="A97" s="25">
        <v>30</v>
      </c>
      <c r="B97" s="28" t="s">
        <v>240</v>
      </c>
      <c r="C97" s="29" t="s">
        <v>284</v>
      </c>
      <c r="D97" s="54" t="s">
        <v>84</v>
      </c>
      <c r="E97" s="31">
        <f>F98</f>
        <v>13271.387999999999</v>
      </c>
      <c r="F97" s="32">
        <f>F98+F99</f>
        <v>17817.691999999999</v>
      </c>
      <c r="G97" s="32">
        <f>G98+G99</f>
        <v>0</v>
      </c>
      <c r="H97" s="32">
        <f>H98+H99</f>
        <v>0</v>
      </c>
      <c r="I97" s="33">
        <f t="shared" ref="I97:I99" si="255">SUM(K97:O97)</f>
        <v>17817.691999999999</v>
      </c>
      <c r="J97" s="32">
        <f t="shared" ref="J97:M97" si="256">J98+J99</f>
        <v>0</v>
      </c>
      <c r="K97" s="32">
        <f t="shared" si="256"/>
        <v>0</v>
      </c>
      <c r="L97" s="32">
        <f t="shared" si="256"/>
        <v>0</v>
      </c>
      <c r="M97" s="32">
        <f t="shared" si="256"/>
        <v>572.01400000000001</v>
      </c>
      <c r="N97" s="95">
        <f>N98+N99</f>
        <v>11254.161</v>
      </c>
      <c r="O97" s="95">
        <f t="shared" ref="O97:Q97" si="257">O98+O99</f>
        <v>5991.5169999999998</v>
      </c>
      <c r="P97" s="95">
        <f t="shared" si="257"/>
        <v>0</v>
      </c>
      <c r="Q97" s="95">
        <f t="shared" si="257"/>
        <v>0</v>
      </c>
      <c r="R97" s="95">
        <v>0</v>
      </c>
      <c r="S97" s="95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f t="shared" si="254"/>
        <v>0</v>
      </c>
    </row>
    <row r="98" spans="1:30" ht="17.25" customHeight="1">
      <c r="A98" s="34"/>
      <c r="B98" s="13" t="s">
        <v>30</v>
      </c>
      <c r="C98" s="38"/>
      <c r="D98" s="38"/>
      <c r="E98" s="38"/>
      <c r="F98" s="38">
        <f>H98+I98+AD98</f>
        <v>13271.387999999999</v>
      </c>
      <c r="G98" s="38">
        <v>0</v>
      </c>
      <c r="H98" s="38">
        <v>0</v>
      </c>
      <c r="I98" s="38">
        <f t="shared" si="255"/>
        <v>13271.387999999999</v>
      </c>
      <c r="J98" s="16">
        <v>0</v>
      </c>
      <c r="K98" s="16">
        <v>0</v>
      </c>
      <c r="L98" s="49">
        <v>0</v>
      </c>
      <c r="M98" s="17">
        <v>198.24700000000001</v>
      </c>
      <c r="N98" s="94">
        <v>7081.6239999999998</v>
      </c>
      <c r="O98" s="93">
        <v>5991.5169999999998</v>
      </c>
      <c r="P98" s="99">
        <v>0</v>
      </c>
      <c r="Q98" s="99">
        <v>0</v>
      </c>
      <c r="R98" s="94">
        <v>0</v>
      </c>
      <c r="S98" s="9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32">
        <f t="shared" si="254"/>
        <v>0</v>
      </c>
    </row>
    <row r="99" spans="1:30" ht="17.25" customHeight="1">
      <c r="A99" s="34"/>
      <c r="B99" s="43" t="s">
        <v>38</v>
      </c>
      <c r="C99" s="38"/>
      <c r="D99" s="38"/>
      <c r="E99" s="38"/>
      <c r="F99" s="38">
        <f>H99+I99+AD99</f>
        <v>4546.3040000000001</v>
      </c>
      <c r="G99" s="38">
        <v>0</v>
      </c>
      <c r="H99" s="38">
        <v>0</v>
      </c>
      <c r="I99" s="38">
        <f t="shared" si="255"/>
        <v>4546.3040000000001</v>
      </c>
      <c r="J99" s="16">
        <v>0</v>
      </c>
      <c r="K99" s="16">
        <v>0</v>
      </c>
      <c r="L99" s="49">
        <v>0</v>
      </c>
      <c r="M99" s="17">
        <v>373.767</v>
      </c>
      <c r="N99" s="94">
        <v>4172.5370000000003</v>
      </c>
      <c r="O99" s="94">
        <v>0</v>
      </c>
      <c r="P99" s="99">
        <v>0</v>
      </c>
      <c r="Q99" s="99">
        <v>0</v>
      </c>
      <c r="R99" s="94">
        <v>0</v>
      </c>
      <c r="S99" s="9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32">
        <f t="shared" si="254"/>
        <v>0</v>
      </c>
    </row>
    <row r="100" spans="1:30" ht="36.75" customHeight="1">
      <c r="A100" s="25">
        <v>31</v>
      </c>
      <c r="B100" s="28" t="s">
        <v>241</v>
      </c>
      <c r="C100" s="29" t="s">
        <v>235</v>
      </c>
      <c r="D100" s="54" t="s">
        <v>84</v>
      </c>
      <c r="E100" s="31">
        <f t="shared" ref="E100" si="258">F101</f>
        <v>11433.608</v>
      </c>
      <c r="F100" s="32">
        <f t="shared" ref="F100:H100" si="259">F101+F102</f>
        <v>13801.174999999999</v>
      </c>
      <c r="G100" s="32">
        <f t="shared" si="259"/>
        <v>0</v>
      </c>
      <c r="H100" s="32">
        <f t="shared" si="259"/>
        <v>0</v>
      </c>
      <c r="I100" s="33">
        <f t="shared" ref="I100:I105" si="260">SUM(K100:O100)</f>
        <v>13801.174999999999</v>
      </c>
      <c r="J100" s="32">
        <f t="shared" ref="J100:M100" si="261">J101+J102</f>
        <v>0</v>
      </c>
      <c r="K100" s="32">
        <f t="shared" si="261"/>
        <v>0</v>
      </c>
      <c r="L100" s="32">
        <f t="shared" si="261"/>
        <v>0</v>
      </c>
      <c r="M100" s="32">
        <f t="shared" si="261"/>
        <v>1644.06</v>
      </c>
      <c r="N100" s="95">
        <f>N101+N102</f>
        <v>10628.661</v>
      </c>
      <c r="O100" s="95">
        <f t="shared" ref="O100:Q100" si="262">O101+O102</f>
        <v>1528.454</v>
      </c>
      <c r="P100" s="95">
        <f t="shared" si="262"/>
        <v>0</v>
      </c>
      <c r="Q100" s="95">
        <f t="shared" si="262"/>
        <v>0</v>
      </c>
      <c r="R100" s="95">
        <v>0</v>
      </c>
      <c r="S100" s="95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f t="shared" si="254"/>
        <v>0</v>
      </c>
    </row>
    <row r="101" spans="1:30" ht="17.25" customHeight="1">
      <c r="A101" s="34"/>
      <c r="B101" s="13" t="s">
        <v>30</v>
      </c>
      <c r="C101" s="38"/>
      <c r="D101" s="38"/>
      <c r="E101" s="38"/>
      <c r="F101" s="38">
        <f>H101+I101+AD101</f>
        <v>11433.608</v>
      </c>
      <c r="G101" s="38">
        <v>0</v>
      </c>
      <c r="H101" s="38">
        <v>0</v>
      </c>
      <c r="I101" s="38">
        <f t="shared" si="260"/>
        <v>11433.608</v>
      </c>
      <c r="J101" s="16">
        <v>0</v>
      </c>
      <c r="K101" s="16">
        <v>0</v>
      </c>
      <c r="L101" s="49">
        <v>0</v>
      </c>
      <c r="M101" s="17">
        <f>108.803+729.706+189</f>
        <v>1027.509</v>
      </c>
      <c r="N101" s="94">
        <v>8877.6450000000004</v>
      </c>
      <c r="O101" s="94">
        <v>1528.454</v>
      </c>
      <c r="P101" s="99">
        <v>0</v>
      </c>
      <c r="Q101" s="99">
        <v>0</v>
      </c>
      <c r="R101" s="94">
        <v>0</v>
      </c>
      <c r="S101" s="9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32">
        <f t="shared" si="254"/>
        <v>0</v>
      </c>
    </row>
    <row r="102" spans="1:30" ht="17.25" customHeight="1">
      <c r="A102" s="34"/>
      <c r="B102" s="43" t="s">
        <v>38</v>
      </c>
      <c r="C102" s="38"/>
      <c r="D102" s="38"/>
      <c r="E102" s="38"/>
      <c r="F102" s="38">
        <f>H102+I102+AD102</f>
        <v>2367.567</v>
      </c>
      <c r="G102" s="38">
        <v>0</v>
      </c>
      <c r="H102" s="38">
        <v>0</v>
      </c>
      <c r="I102" s="38">
        <f t="shared" si="260"/>
        <v>2367.567</v>
      </c>
      <c r="J102" s="16">
        <v>0</v>
      </c>
      <c r="K102" s="16">
        <v>0</v>
      </c>
      <c r="L102" s="49">
        <v>0</v>
      </c>
      <c r="M102" s="17">
        <v>616.55100000000004</v>
      </c>
      <c r="N102" s="94">
        <v>1751.0160000000001</v>
      </c>
      <c r="O102" s="94">
        <v>0</v>
      </c>
      <c r="P102" s="99">
        <v>0</v>
      </c>
      <c r="Q102" s="99">
        <v>0</v>
      </c>
      <c r="R102" s="94">
        <v>0</v>
      </c>
      <c r="S102" s="99">
        <v>0</v>
      </c>
      <c r="T102" s="49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49">
        <v>0</v>
      </c>
      <c r="AD102" s="32">
        <f t="shared" si="254"/>
        <v>0</v>
      </c>
    </row>
    <row r="103" spans="1:30" ht="41.25" customHeight="1">
      <c r="A103" s="25">
        <v>32</v>
      </c>
      <c r="B103" s="28" t="s">
        <v>242</v>
      </c>
      <c r="C103" s="29" t="s">
        <v>235</v>
      </c>
      <c r="D103" s="54" t="s">
        <v>84</v>
      </c>
      <c r="E103" s="31">
        <f t="shared" ref="E103" si="263">F104</f>
        <v>19274.852999999999</v>
      </c>
      <c r="F103" s="32">
        <f t="shared" ref="F103:H103" si="264">F104+F105</f>
        <v>25441.302</v>
      </c>
      <c r="G103" s="32">
        <f t="shared" si="264"/>
        <v>0</v>
      </c>
      <c r="H103" s="32">
        <f t="shared" si="264"/>
        <v>0</v>
      </c>
      <c r="I103" s="33">
        <f t="shared" si="260"/>
        <v>25441.301999999996</v>
      </c>
      <c r="J103" s="32">
        <f t="shared" ref="J103:M103" si="265">J104+J105</f>
        <v>0</v>
      </c>
      <c r="K103" s="32">
        <f t="shared" si="265"/>
        <v>0</v>
      </c>
      <c r="L103" s="32">
        <f t="shared" si="265"/>
        <v>0</v>
      </c>
      <c r="M103" s="32">
        <f t="shared" si="265"/>
        <v>77</v>
      </c>
      <c r="N103" s="95">
        <f>N104+N105</f>
        <v>16760.097999999998</v>
      </c>
      <c r="O103" s="95">
        <f t="shared" ref="O103:Q103" si="266">O104+O105</f>
        <v>8604.2039999999997</v>
      </c>
      <c r="P103" s="95">
        <f t="shared" si="266"/>
        <v>0</v>
      </c>
      <c r="Q103" s="95">
        <f t="shared" si="266"/>
        <v>0</v>
      </c>
      <c r="R103" s="95">
        <v>0</v>
      </c>
      <c r="S103" s="95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f t="shared" si="254"/>
        <v>0</v>
      </c>
    </row>
    <row r="104" spans="1:30" ht="17.25" customHeight="1">
      <c r="A104" s="34"/>
      <c r="B104" s="13" t="s">
        <v>30</v>
      </c>
      <c r="C104" s="38"/>
      <c r="D104" s="38"/>
      <c r="E104" s="38"/>
      <c r="F104" s="38">
        <f>H104+I104+AD104</f>
        <v>19274.852999999999</v>
      </c>
      <c r="G104" s="38">
        <v>0</v>
      </c>
      <c r="H104" s="38">
        <v>0</v>
      </c>
      <c r="I104" s="38">
        <f t="shared" si="260"/>
        <v>19274.852999999999</v>
      </c>
      <c r="J104" s="16">
        <v>0</v>
      </c>
      <c r="K104" s="16">
        <v>0</v>
      </c>
      <c r="L104" s="49">
        <v>0</v>
      </c>
      <c r="M104" s="17">
        <f>10.626+6.16</f>
        <v>16.786000000000001</v>
      </c>
      <c r="N104" s="94">
        <f>6637.143+4016.72</f>
        <v>10653.862999999999</v>
      </c>
      <c r="O104" s="94">
        <v>8604.2039999999997</v>
      </c>
      <c r="P104" s="99">
        <v>0</v>
      </c>
      <c r="Q104" s="99">
        <v>0</v>
      </c>
      <c r="R104" s="94">
        <v>0</v>
      </c>
      <c r="S104" s="99">
        <v>0</v>
      </c>
      <c r="T104" s="49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  <c r="AD104" s="32">
        <f t="shared" si="254"/>
        <v>0</v>
      </c>
    </row>
    <row r="105" spans="1:30" ht="17.25" customHeight="1">
      <c r="A105" s="34"/>
      <c r="B105" s="43" t="s">
        <v>38</v>
      </c>
      <c r="C105" s="38"/>
      <c r="D105" s="38"/>
      <c r="E105" s="38"/>
      <c r="F105" s="38">
        <f>H105+I105+AD105</f>
        <v>6166.4489999999996</v>
      </c>
      <c r="G105" s="38">
        <v>0</v>
      </c>
      <c r="H105" s="38">
        <v>0</v>
      </c>
      <c r="I105" s="38">
        <f t="shared" si="260"/>
        <v>6166.4489999999996</v>
      </c>
      <c r="J105" s="16">
        <v>0</v>
      </c>
      <c r="K105" s="16">
        <v>0</v>
      </c>
      <c r="L105" s="49">
        <v>0</v>
      </c>
      <c r="M105" s="17">
        <v>60.213999999999999</v>
      </c>
      <c r="N105" s="94">
        <v>6106.2349999999997</v>
      </c>
      <c r="O105" s="94">
        <v>0</v>
      </c>
      <c r="P105" s="99">
        <v>0</v>
      </c>
      <c r="Q105" s="99">
        <v>0</v>
      </c>
      <c r="R105" s="94">
        <v>0</v>
      </c>
      <c r="S105" s="99">
        <v>0</v>
      </c>
      <c r="T105" s="49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  <c r="Z105" s="49">
        <v>0</v>
      </c>
      <c r="AA105" s="49">
        <v>0</v>
      </c>
      <c r="AB105" s="49">
        <v>0</v>
      </c>
      <c r="AC105" s="49">
        <v>0</v>
      </c>
      <c r="AD105" s="32">
        <f t="shared" si="254"/>
        <v>0</v>
      </c>
    </row>
    <row r="106" spans="1:30" ht="21.75" customHeight="1">
      <c r="A106" s="25">
        <v>33</v>
      </c>
      <c r="B106" s="42" t="s">
        <v>102</v>
      </c>
      <c r="C106" s="29" t="s">
        <v>103</v>
      </c>
      <c r="D106" s="30" t="s">
        <v>104</v>
      </c>
      <c r="E106" s="31">
        <f>F107</f>
        <v>80436.31</v>
      </c>
      <c r="F106" s="32">
        <v>956765.59499999997</v>
      </c>
      <c r="G106" s="33">
        <v>789229.45699999994</v>
      </c>
      <c r="H106" s="33">
        <v>918730.11699999997</v>
      </c>
      <c r="I106" s="33">
        <f t="shared" si="251"/>
        <v>32473.193000000003</v>
      </c>
      <c r="J106" s="32">
        <f>J107+J108+J109+J110</f>
        <v>129500.66</v>
      </c>
      <c r="K106" s="32">
        <f t="shared" ref="K106:M106" si="267">K107+K108+K109+K110</f>
        <v>3398.2939999999999</v>
      </c>
      <c r="L106" s="32">
        <f t="shared" si="267"/>
        <v>7395.085</v>
      </c>
      <c r="M106" s="32">
        <f t="shared" si="267"/>
        <v>7553.6139999999996</v>
      </c>
      <c r="N106" s="95">
        <f>N107</f>
        <v>6746</v>
      </c>
      <c r="O106" s="95">
        <f t="shared" ref="O106:S106" si="268">O107</f>
        <v>7380.2000000000007</v>
      </c>
      <c r="P106" s="95">
        <f t="shared" si="268"/>
        <v>7795</v>
      </c>
      <c r="Q106" s="95">
        <f t="shared" si="268"/>
        <v>4065</v>
      </c>
      <c r="R106" s="95">
        <v>0</v>
      </c>
      <c r="S106" s="95">
        <f t="shared" si="268"/>
        <v>0</v>
      </c>
      <c r="T106" s="95">
        <f t="shared" ref="T106" si="269">T107</f>
        <v>0</v>
      </c>
      <c r="U106" s="95">
        <f t="shared" ref="U106" si="270">U107</f>
        <v>0</v>
      </c>
      <c r="V106" s="95">
        <f t="shared" ref="V106" si="271">V107</f>
        <v>0</v>
      </c>
      <c r="W106" s="95">
        <f t="shared" ref="W106" si="272">W107</f>
        <v>0</v>
      </c>
      <c r="X106" s="95">
        <f t="shared" ref="X106" si="273">X107</f>
        <v>0</v>
      </c>
      <c r="Y106" s="95">
        <f t="shared" ref="Y106" si="274">Y107</f>
        <v>0</v>
      </c>
      <c r="Z106" s="95">
        <f t="shared" ref="Z106" si="275">Z107</f>
        <v>0</v>
      </c>
      <c r="AA106" s="95">
        <f t="shared" ref="AA106" si="276">AA107</f>
        <v>0</v>
      </c>
      <c r="AB106" s="95">
        <f t="shared" ref="AB106" si="277">AB107</f>
        <v>0</v>
      </c>
      <c r="AC106" s="95">
        <f t="shared" ref="AC106" si="278">AC107</f>
        <v>0</v>
      </c>
      <c r="AD106" s="32">
        <f t="shared" si="254"/>
        <v>11860</v>
      </c>
    </row>
    <row r="107" spans="1:30" ht="17.25" customHeight="1">
      <c r="A107" s="45"/>
      <c r="B107" s="13" t="s">
        <v>30</v>
      </c>
      <c r="C107" s="35"/>
      <c r="D107" s="36"/>
      <c r="E107" s="37"/>
      <c r="F107" s="38">
        <f>H107+I107+AD107</f>
        <v>80436.31</v>
      </c>
      <c r="G107" s="39">
        <v>27252.456999999999</v>
      </c>
      <c r="H107" s="38">
        <v>36103.116999999998</v>
      </c>
      <c r="I107" s="38">
        <f t="shared" si="251"/>
        <v>32473.193000000003</v>
      </c>
      <c r="J107" s="38">
        <v>8850.66</v>
      </c>
      <c r="K107" s="38">
        <v>3398.2939999999999</v>
      </c>
      <c r="L107" s="38">
        <v>7395.085</v>
      </c>
      <c r="M107" s="40">
        <f>7553.614</f>
        <v>7553.6139999999996</v>
      </c>
      <c r="N107" s="93">
        <v>6746</v>
      </c>
      <c r="O107" s="93">
        <v>7380.2000000000007</v>
      </c>
      <c r="P107" s="94">
        <v>7795</v>
      </c>
      <c r="Q107" s="94">
        <v>4065</v>
      </c>
      <c r="R107" s="94">
        <v>0</v>
      </c>
      <c r="S107" s="94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2">
        <f t="shared" si="254"/>
        <v>11860</v>
      </c>
    </row>
    <row r="108" spans="1:30" ht="17.25" customHeight="1">
      <c r="A108" s="45"/>
      <c r="B108" s="13" t="s">
        <v>31</v>
      </c>
      <c r="C108" s="35"/>
      <c r="D108" s="36"/>
      <c r="E108" s="37"/>
      <c r="F108" s="38">
        <f>H108+I108+AD108</f>
        <v>2809</v>
      </c>
      <c r="G108" s="39">
        <v>2809</v>
      </c>
      <c r="H108" s="38">
        <v>2809</v>
      </c>
      <c r="I108" s="38">
        <f t="shared" si="251"/>
        <v>0</v>
      </c>
      <c r="J108" s="38">
        <v>0</v>
      </c>
      <c r="K108" s="38">
        <v>0</v>
      </c>
      <c r="L108" s="38">
        <v>0</v>
      </c>
      <c r="M108" s="38">
        <v>0</v>
      </c>
      <c r="N108" s="94">
        <v>0</v>
      </c>
      <c r="O108" s="94">
        <v>0</v>
      </c>
      <c r="P108" s="94">
        <v>0</v>
      </c>
      <c r="Q108" s="94">
        <v>0</v>
      </c>
      <c r="R108" s="94">
        <v>0</v>
      </c>
      <c r="S108" s="94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2">
        <f t="shared" si="254"/>
        <v>0</v>
      </c>
    </row>
    <row r="109" spans="1:30" ht="17.25" customHeight="1">
      <c r="A109" s="45"/>
      <c r="B109" s="13" t="s">
        <v>105</v>
      </c>
      <c r="C109" s="35"/>
      <c r="D109" s="36"/>
      <c r="E109" s="37"/>
      <c r="F109" s="38">
        <f>H109+I109+AD109</f>
        <v>13620</v>
      </c>
      <c r="G109" s="39">
        <v>8620</v>
      </c>
      <c r="H109" s="38">
        <v>13620</v>
      </c>
      <c r="I109" s="38">
        <f t="shared" si="251"/>
        <v>0</v>
      </c>
      <c r="J109" s="38">
        <v>5000</v>
      </c>
      <c r="K109" s="38">
        <v>0</v>
      </c>
      <c r="L109" s="38">
        <v>0</v>
      </c>
      <c r="M109" s="38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2">
        <f t="shared" si="254"/>
        <v>0</v>
      </c>
    </row>
    <row r="110" spans="1:30" ht="17.25" customHeight="1">
      <c r="A110" s="45"/>
      <c r="B110" s="13" t="s">
        <v>106</v>
      </c>
      <c r="C110" s="35"/>
      <c r="D110" s="36"/>
      <c r="E110" s="37"/>
      <c r="F110" s="38">
        <f>H110+I110+AD110</f>
        <v>866198</v>
      </c>
      <c r="G110" s="39">
        <v>750548</v>
      </c>
      <c r="H110" s="38">
        <v>866198</v>
      </c>
      <c r="I110" s="38">
        <f t="shared" si="251"/>
        <v>0</v>
      </c>
      <c r="J110" s="38">
        <v>115650</v>
      </c>
      <c r="K110" s="38">
        <v>0</v>
      </c>
      <c r="L110" s="38">
        <v>0</v>
      </c>
      <c r="M110" s="38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2">
        <f t="shared" si="254"/>
        <v>0</v>
      </c>
    </row>
    <row r="111" spans="1:30" ht="32.25" customHeight="1">
      <c r="A111" s="25">
        <v>34</v>
      </c>
      <c r="B111" s="42" t="s">
        <v>315</v>
      </c>
      <c r="C111" s="29" t="s">
        <v>330</v>
      </c>
      <c r="D111" s="30" t="s">
        <v>107</v>
      </c>
      <c r="E111" s="31">
        <f>F112</f>
        <v>272496.69900000002</v>
      </c>
      <c r="F111" s="32">
        <f>F112+F113+F114</f>
        <v>305759.33299999998</v>
      </c>
      <c r="G111" s="33">
        <v>53438.323000000004</v>
      </c>
      <c r="H111" s="33">
        <v>59884.263000000006</v>
      </c>
      <c r="I111" s="33">
        <f t="shared" si="251"/>
        <v>99926.07</v>
      </c>
      <c r="J111" s="32">
        <f>J112+J113+J114</f>
        <v>6445.94</v>
      </c>
      <c r="K111" s="32">
        <f t="shared" ref="K111:M111" si="279">K112+K113+K114</f>
        <v>10990.474999999999</v>
      </c>
      <c r="L111" s="32">
        <f t="shared" si="279"/>
        <v>18624.382000000001</v>
      </c>
      <c r="M111" s="32">
        <f t="shared" si="279"/>
        <v>11443.359</v>
      </c>
      <c r="N111" s="95">
        <f>N112</f>
        <v>10658.308000000001</v>
      </c>
      <c r="O111" s="95">
        <f t="shared" ref="O111:S111" si="280">O112</f>
        <v>48209.546000000002</v>
      </c>
      <c r="P111" s="95">
        <f t="shared" si="280"/>
        <v>39036</v>
      </c>
      <c r="Q111" s="95">
        <f t="shared" si="280"/>
        <v>46913</v>
      </c>
      <c r="R111" s="95">
        <v>60000</v>
      </c>
      <c r="S111" s="95">
        <f t="shared" si="280"/>
        <v>30000</v>
      </c>
      <c r="T111" s="95">
        <f t="shared" ref="T111" si="281">T112</f>
        <v>30000</v>
      </c>
      <c r="U111" s="95">
        <f t="shared" ref="U111" si="282">U112</f>
        <v>0</v>
      </c>
      <c r="V111" s="95">
        <f t="shared" ref="V111" si="283">V112</f>
        <v>0</v>
      </c>
      <c r="W111" s="95">
        <f t="shared" ref="W111" si="284">W112</f>
        <v>0</v>
      </c>
      <c r="X111" s="95">
        <f t="shared" ref="X111" si="285">X112</f>
        <v>0</v>
      </c>
      <c r="Y111" s="95">
        <f t="shared" ref="Y111" si="286">Y112</f>
        <v>0</v>
      </c>
      <c r="Z111" s="95">
        <f t="shared" ref="Z111" si="287">Z112</f>
        <v>0</v>
      </c>
      <c r="AA111" s="95">
        <f t="shared" ref="AA111" si="288">AA112</f>
        <v>0</v>
      </c>
      <c r="AB111" s="95">
        <f t="shared" ref="AB111" si="289">AB112</f>
        <v>0</v>
      </c>
      <c r="AC111" s="95">
        <f t="shared" ref="AC111" si="290">AC112</f>
        <v>0</v>
      </c>
      <c r="AD111" s="32">
        <f t="shared" si="254"/>
        <v>145949</v>
      </c>
    </row>
    <row r="112" spans="1:30" ht="17.25" customHeight="1">
      <c r="A112" s="45"/>
      <c r="B112" s="13" t="s">
        <v>30</v>
      </c>
      <c r="C112" s="36"/>
      <c r="D112" s="36"/>
      <c r="E112" s="37"/>
      <c r="F112" s="38">
        <f>H112+I112+AD112</f>
        <v>272496.69900000002</v>
      </c>
      <c r="G112" s="38">
        <v>26285.098000000002</v>
      </c>
      <c r="H112" s="38">
        <v>31939.445</v>
      </c>
      <c r="I112" s="38">
        <f t="shared" si="251"/>
        <v>94608.254000000001</v>
      </c>
      <c r="J112" s="38">
        <v>5654.3469999999998</v>
      </c>
      <c r="K112" s="38">
        <v>8829.9110000000001</v>
      </c>
      <c r="L112" s="38">
        <v>15467.130000000001</v>
      </c>
      <c r="M112" s="40">
        <f>11505-17.161-47.6+3.12</f>
        <v>11443.359</v>
      </c>
      <c r="N112" s="94">
        <v>10658.308000000001</v>
      </c>
      <c r="O112" s="93">
        <v>48209.546000000002</v>
      </c>
      <c r="P112" s="94">
        <v>39036</v>
      </c>
      <c r="Q112" s="94">
        <v>46913</v>
      </c>
      <c r="R112" s="94">
        <v>60000</v>
      </c>
      <c r="S112" s="94">
        <v>30000</v>
      </c>
      <c r="T112" s="38">
        <v>30000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38">
        <v>0</v>
      </c>
      <c r="AD112" s="32">
        <f t="shared" si="254"/>
        <v>145949</v>
      </c>
    </row>
    <row r="113" spans="1:30" ht="17.25" customHeight="1">
      <c r="A113" s="45"/>
      <c r="B113" s="43" t="s">
        <v>38</v>
      </c>
      <c r="C113" s="36"/>
      <c r="D113" s="36"/>
      <c r="E113" s="37"/>
      <c r="F113" s="38">
        <f>H113+I113+AD113</f>
        <v>27974.957999999999</v>
      </c>
      <c r="G113" s="38">
        <v>27153.224999999999</v>
      </c>
      <c r="H113" s="38">
        <v>27944.817999999999</v>
      </c>
      <c r="I113" s="38">
        <f t="shared" si="251"/>
        <v>30.14</v>
      </c>
      <c r="J113" s="38">
        <v>791.59299999999996</v>
      </c>
      <c r="K113" s="38">
        <v>30.14</v>
      </c>
      <c r="L113" s="38">
        <v>0</v>
      </c>
      <c r="M113" s="38">
        <v>0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  <c r="AB113" s="38">
        <v>0</v>
      </c>
      <c r="AC113" s="38">
        <v>0</v>
      </c>
      <c r="AD113" s="32">
        <f t="shared" si="254"/>
        <v>0</v>
      </c>
    </row>
    <row r="114" spans="1:30" ht="17.25" customHeight="1">
      <c r="A114" s="45"/>
      <c r="B114" s="13" t="s">
        <v>108</v>
      </c>
      <c r="C114" s="36"/>
      <c r="D114" s="36"/>
      <c r="E114" s="37"/>
      <c r="F114" s="38">
        <f>H114+I114+AD114</f>
        <v>5287.6759999999995</v>
      </c>
      <c r="G114" s="38">
        <v>0</v>
      </c>
      <c r="H114" s="38">
        <v>0</v>
      </c>
      <c r="I114" s="38">
        <f t="shared" si="251"/>
        <v>5287.6759999999995</v>
      </c>
      <c r="J114" s="38">
        <v>0</v>
      </c>
      <c r="K114" s="38">
        <v>2130.424</v>
      </c>
      <c r="L114" s="38">
        <v>3157.252</v>
      </c>
      <c r="M114" s="38">
        <v>0</v>
      </c>
      <c r="N114" s="94">
        <v>0</v>
      </c>
      <c r="O114" s="94">
        <v>0</v>
      </c>
      <c r="P114" s="94">
        <v>0</v>
      </c>
      <c r="Q114" s="94">
        <v>0</v>
      </c>
      <c r="R114" s="94">
        <v>0</v>
      </c>
      <c r="S114" s="94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  <c r="AB114" s="38">
        <v>0</v>
      </c>
      <c r="AC114" s="38">
        <v>0</v>
      </c>
      <c r="AD114" s="32">
        <f t="shared" si="254"/>
        <v>0</v>
      </c>
    </row>
    <row r="115" spans="1:30" ht="39" customHeight="1">
      <c r="A115" s="25">
        <v>35</v>
      </c>
      <c r="B115" s="42" t="s">
        <v>109</v>
      </c>
      <c r="C115" s="29" t="s">
        <v>48</v>
      </c>
      <c r="D115" s="30" t="s">
        <v>110</v>
      </c>
      <c r="E115" s="31">
        <f>F116</f>
        <v>96354.024999999994</v>
      </c>
      <c r="F115" s="32">
        <f>F116+F117</f>
        <v>116892.519</v>
      </c>
      <c r="G115" s="32">
        <f>G116+G117</f>
        <v>167.262</v>
      </c>
      <c r="H115" s="32">
        <f>H116+H117</f>
        <v>9220.8790000000008</v>
      </c>
      <c r="I115" s="33">
        <f t="shared" si="251"/>
        <v>63258.239999999991</v>
      </c>
      <c r="J115" s="32">
        <f t="shared" ref="J115:M115" si="291">J116+J117</f>
        <v>9053.6170000000002</v>
      </c>
      <c r="K115" s="32">
        <f t="shared" si="291"/>
        <v>12327.359999999999</v>
      </c>
      <c r="L115" s="32">
        <f t="shared" si="291"/>
        <v>16911.05</v>
      </c>
      <c r="M115" s="32">
        <f t="shared" si="291"/>
        <v>8646.9579999999987</v>
      </c>
      <c r="N115" s="95">
        <f>N116+N117</f>
        <v>24803.187000000002</v>
      </c>
      <c r="O115" s="95">
        <f t="shared" ref="O115:S115" si="292">O116+O117</f>
        <v>569.68499999999995</v>
      </c>
      <c r="P115" s="95">
        <f t="shared" si="292"/>
        <v>13.4</v>
      </c>
      <c r="Q115" s="95">
        <f t="shared" si="292"/>
        <v>100</v>
      </c>
      <c r="R115" s="95">
        <v>44300</v>
      </c>
      <c r="S115" s="95">
        <f t="shared" si="292"/>
        <v>1600</v>
      </c>
      <c r="T115" s="95">
        <f t="shared" ref="T115" si="293">T116+T117</f>
        <v>42700</v>
      </c>
      <c r="U115" s="95">
        <f t="shared" ref="U115" si="294">U116+U117</f>
        <v>0</v>
      </c>
      <c r="V115" s="95">
        <f t="shared" ref="V115" si="295">V116+V117</f>
        <v>0</v>
      </c>
      <c r="W115" s="95">
        <f t="shared" ref="W115" si="296">W116+W117</f>
        <v>0</v>
      </c>
      <c r="X115" s="95">
        <f t="shared" ref="X115" si="297">X116+X117</f>
        <v>0</v>
      </c>
      <c r="Y115" s="95">
        <f t="shared" ref="Y115" si="298">Y116+Y117</f>
        <v>0</v>
      </c>
      <c r="Z115" s="95">
        <f t="shared" ref="Z115" si="299">Z116+Z117</f>
        <v>0</v>
      </c>
      <c r="AA115" s="95">
        <f t="shared" ref="AA115" si="300">AA116+AA117</f>
        <v>0</v>
      </c>
      <c r="AB115" s="95">
        <f t="shared" ref="AB115" si="301">AB116+AB117</f>
        <v>0</v>
      </c>
      <c r="AC115" s="95">
        <f t="shared" ref="AC115" si="302">AC116+AC117</f>
        <v>0</v>
      </c>
      <c r="AD115" s="32">
        <f t="shared" si="254"/>
        <v>44413.4</v>
      </c>
    </row>
    <row r="116" spans="1:30" ht="17.25" customHeight="1">
      <c r="A116" s="45"/>
      <c r="B116" s="13" t="s">
        <v>30</v>
      </c>
      <c r="C116" s="35"/>
      <c r="D116" s="36"/>
      <c r="E116" s="37"/>
      <c r="F116" s="38">
        <f>H116+I116+AD116</f>
        <v>96354.024999999994</v>
      </c>
      <c r="G116" s="39">
        <v>167.262</v>
      </c>
      <c r="H116" s="38">
        <v>7057.1239999999998</v>
      </c>
      <c r="I116" s="38">
        <f t="shared" si="251"/>
        <v>44883.500999999997</v>
      </c>
      <c r="J116" s="38">
        <v>6889.8620000000001</v>
      </c>
      <c r="K116" s="38">
        <v>11139.670999999998</v>
      </c>
      <c r="L116" s="38">
        <v>4814</v>
      </c>
      <c r="M116" s="40">
        <v>5456.9579999999996</v>
      </c>
      <c r="N116" s="93">
        <v>22903.187000000002</v>
      </c>
      <c r="O116" s="93">
        <v>569.68499999999995</v>
      </c>
      <c r="P116" s="93">
        <v>13.4</v>
      </c>
      <c r="Q116" s="93">
        <v>100</v>
      </c>
      <c r="R116" s="93">
        <v>44300</v>
      </c>
      <c r="S116" s="93">
        <v>1600</v>
      </c>
      <c r="T116" s="38">
        <v>42700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2">
        <f t="shared" si="254"/>
        <v>44413.4</v>
      </c>
    </row>
    <row r="117" spans="1:30" ht="17.25" customHeight="1">
      <c r="A117" s="45"/>
      <c r="B117" s="13" t="s">
        <v>111</v>
      </c>
      <c r="C117" s="35"/>
      <c r="D117" s="36"/>
      <c r="E117" s="37"/>
      <c r="F117" s="38">
        <f>H117+I117+AD117</f>
        <v>20538.494000000002</v>
      </c>
      <c r="G117" s="39">
        <v>0</v>
      </c>
      <c r="H117" s="38">
        <v>2163.7550000000001</v>
      </c>
      <c r="I117" s="38">
        <f t="shared" si="251"/>
        <v>18374.739000000001</v>
      </c>
      <c r="J117" s="38">
        <v>2163.7550000000001</v>
      </c>
      <c r="K117" s="38">
        <v>1187.6890000000001</v>
      </c>
      <c r="L117" s="38">
        <v>12097.05</v>
      </c>
      <c r="M117" s="38">
        <v>3190</v>
      </c>
      <c r="N117" s="93">
        <v>1900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  <c r="AA117" s="38">
        <v>0</v>
      </c>
      <c r="AB117" s="38">
        <v>0</v>
      </c>
      <c r="AC117" s="38">
        <v>0</v>
      </c>
      <c r="AD117" s="32">
        <f t="shared" si="254"/>
        <v>0</v>
      </c>
    </row>
    <row r="118" spans="1:30" ht="32.25" customHeight="1">
      <c r="A118" s="58">
        <v>36</v>
      </c>
      <c r="B118" s="42" t="s">
        <v>113</v>
      </c>
      <c r="C118" s="29" t="s">
        <v>268</v>
      </c>
      <c r="D118" s="54" t="s">
        <v>73</v>
      </c>
      <c r="E118" s="31">
        <f>F119</f>
        <v>15403.074000000001</v>
      </c>
      <c r="F118" s="32">
        <f>F119+F120</f>
        <v>41969.380000000005</v>
      </c>
      <c r="G118" s="32">
        <f>G119+G120</f>
        <v>0</v>
      </c>
      <c r="H118" s="32">
        <f>H119+H120</f>
        <v>0</v>
      </c>
      <c r="I118" s="33">
        <f t="shared" si="251"/>
        <v>32674.524000000001</v>
      </c>
      <c r="J118" s="32">
        <f t="shared" ref="J118:M118" si="303">J119+J120</f>
        <v>0</v>
      </c>
      <c r="K118" s="32">
        <f t="shared" si="303"/>
        <v>920</v>
      </c>
      <c r="L118" s="32">
        <f t="shared" si="303"/>
        <v>1413</v>
      </c>
      <c r="M118" s="32">
        <f t="shared" si="303"/>
        <v>1219.4159999999999</v>
      </c>
      <c r="N118" s="95">
        <f>N119+N120</f>
        <v>8516.0400000000009</v>
      </c>
      <c r="O118" s="95">
        <f t="shared" ref="O118:Q118" si="304">O119+O120</f>
        <v>20606.067999999999</v>
      </c>
      <c r="P118" s="95">
        <f t="shared" si="304"/>
        <v>9294.8559999999998</v>
      </c>
      <c r="Q118" s="95">
        <f t="shared" si="304"/>
        <v>0</v>
      </c>
      <c r="R118" s="95">
        <v>0</v>
      </c>
      <c r="S118" s="95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f t="shared" si="254"/>
        <v>9294.8559999999998</v>
      </c>
    </row>
    <row r="119" spans="1:30" ht="17.25" customHeight="1">
      <c r="A119" s="45"/>
      <c r="B119" s="13" t="s">
        <v>30</v>
      </c>
      <c r="C119" s="35"/>
      <c r="D119" s="36"/>
      <c r="E119" s="37"/>
      <c r="F119" s="38">
        <f>H119+I119+AD119</f>
        <v>15403.074000000001</v>
      </c>
      <c r="G119" s="39">
        <v>0</v>
      </c>
      <c r="H119" s="38">
        <v>0</v>
      </c>
      <c r="I119" s="38">
        <f t="shared" si="251"/>
        <v>11088.847</v>
      </c>
      <c r="J119" s="38">
        <v>0</v>
      </c>
      <c r="K119" s="38">
        <v>920</v>
      </c>
      <c r="L119" s="38">
        <v>1413</v>
      </c>
      <c r="M119" s="40">
        <f>1436-445.764-15.82</f>
        <v>974.41599999999994</v>
      </c>
      <c r="N119" s="94">
        <v>2651.9670000000001</v>
      </c>
      <c r="O119" s="94">
        <v>5129.4639999999999</v>
      </c>
      <c r="P119" s="94">
        <v>4314.2269999999999</v>
      </c>
      <c r="Q119" s="94">
        <v>0</v>
      </c>
      <c r="R119" s="94">
        <v>0</v>
      </c>
      <c r="S119" s="94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2">
        <f t="shared" si="254"/>
        <v>4314.2269999999999</v>
      </c>
    </row>
    <row r="120" spans="1:30" ht="17.25" customHeight="1">
      <c r="A120" s="45"/>
      <c r="B120" s="43" t="s">
        <v>38</v>
      </c>
      <c r="C120" s="35"/>
      <c r="D120" s="36"/>
      <c r="E120" s="37"/>
      <c r="F120" s="38">
        <f>H120+I120+AD120</f>
        <v>26566.306</v>
      </c>
      <c r="G120" s="39">
        <v>0</v>
      </c>
      <c r="H120" s="38">
        <v>0</v>
      </c>
      <c r="I120" s="38">
        <f t="shared" si="251"/>
        <v>21585.677</v>
      </c>
      <c r="J120" s="38">
        <v>0</v>
      </c>
      <c r="K120" s="38">
        <v>0</v>
      </c>
      <c r="L120" s="38">
        <v>0</v>
      </c>
      <c r="M120" s="38">
        <v>245</v>
      </c>
      <c r="N120" s="94">
        <v>5864.0730000000003</v>
      </c>
      <c r="O120" s="94">
        <v>15476.603999999999</v>
      </c>
      <c r="P120" s="94">
        <v>4980.6289999999999</v>
      </c>
      <c r="Q120" s="94">
        <v>0</v>
      </c>
      <c r="R120" s="94">
        <v>0</v>
      </c>
      <c r="S120" s="94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  <c r="AA120" s="38">
        <v>0</v>
      </c>
      <c r="AB120" s="38">
        <v>0</v>
      </c>
      <c r="AC120" s="38">
        <v>0</v>
      </c>
      <c r="AD120" s="32">
        <f t="shared" si="254"/>
        <v>4980.6289999999999</v>
      </c>
    </row>
    <row r="121" spans="1:30" ht="50.25" customHeight="1">
      <c r="A121" s="58">
        <v>37</v>
      </c>
      <c r="B121" s="42" t="s">
        <v>280</v>
      </c>
      <c r="C121" s="29" t="s">
        <v>276</v>
      </c>
      <c r="D121" s="54" t="s">
        <v>133</v>
      </c>
      <c r="E121" s="31">
        <f>F122</f>
        <v>1444.124</v>
      </c>
      <c r="F121" s="32">
        <f>F122+F123</f>
        <v>3008.0410000000002</v>
      </c>
      <c r="G121" s="32">
        <f>G122+G123</f>
        <v>0</v>
      </c>
      <c r="H121" s="32">
        <f>H122+H123</f>
        <v>0</v>
      </c>
      <c r="I121" s="33">
        <f t="shared" si="251"/>
        <v>3008.0410000000002</v>
      </c>
      <c r="J121" s="32">
        <f t="shared" ref="J121:M121" si="305">J122+J123</f>
        <v>0</v>
      </c>
      <c r="K121" s="32">
        <f t="shared" si="305"/>
        <v>0</v>
      </c>
      <c r="L121" s="32">
        <f t="shared" si="305"/>
        <v>0</v>
      </c>
      <c r="M121" s="32">
        <f t="shared" si="305"/>
        <v>0</v>
      </c>
      <c r="N121" s="95">
        <f>N122+N123</f>
        <v>0</v>
      </c>
      <c r="O121" s="95">
        <f t="shared" ref="O121:Q121" si="306">O122+O123</f>
        <v>3008.0410000000002</v>
      </c>
      <c r="P121" s="95">
        <f t="shared" si="306"/>
        <v>0</v>
      </c>
      <c r="Q121" s="95">
        <f t="shared" si="306"/>
        <v>0</v>
      </c>
      <c r="R121" s="95">
        <v>0</v>
      </c>
      <c r="S121" s="95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f t="shared" si="254"/>
        <v>0</v>
      </c>
    </row>
    <row r="122" spans="1:30" ht="17.25" customHeight="1">
      <c r="A122" s="45"/>
      <c r="B122" s="13" t="s">
        <v>30</v>
      </c>
      <c r="C122" s="35"/>
      <c r="D122" s="36"/>
      <c r="E122" s="37"/>
      <c r="F122" s="38">
        <f>H122+I122+AD122</f>
        <v>1444.124</v>
      </c>
      <c r="G122" s="39">
        <v>0</v>
      </c>
      <c r="H122" s="38">
        <v>0</v>
      </c>
      <c r="I122" s="38">
        <f t="shared" si="251"/>
        <v>1444.124</v>
      </c>
      <c r="J122" s="38">
        <v>0</v>
      </c>
      <c r="K122" s="38">
        <v>0</v>
      </c>
      <c r="L122" s="38">
        <v>0</v>
      </c>
      <c r="M122" s="40">
        <v>0</v>
      </c>
      <c r="N122" s="94">
        <v>0</v>
      </c>
      <c r="O122" s="94">
        <v>1444.124</v>
      </c>
      <c r="P122" s="94">
        <v>0</v>
      </c>
      <c r="Q122" s="94">
        <v>0</v>
      </c>
      <c r="R122" s="94">
        <v>0</v>
      </c>
      <c r="S122" s="94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2">
        <f t="shared" si="254"/>
        <v>0</v>
      </c>
    </row>
    <row r="123" spans="1:30" ht="17.25" customHeight="1">
      <c r="A123" s="45"/>
      <c r="B123" s="43" t="s">
        <v>38</v>
      </c>
      <c r="C123" s="35"/>
      <c r="D123" s="36"/>
      <c r="E123" s="37"/>
      <c r="F123" s="38">
        <f>H123+I123+AD123</f>
        <v>1563.9169999999999</v>
      </c>
      <c r="G123" s="39">
        <v>0</v>
      </c>
      <c r="H123" s="38">
        <v>0</v>
      </c>
      <c r="I123" s="38">
        <f t="shared" si="251"/>
        <v>1563.9169999999999</v>
      </c>
      <c r="J123" s="38">
        <v>0</v>
      </c>
      <c r="K123" s="38">
        <v>0</v>
      </c>
      <c r="L123" s="38">
        <v>0</v>
      </c>
      <c r="M123" s="38">
        <v>0</v>
      </c>
      <c r="N123" s="94">
        <v>0</v>
      </c>
      <c r="O123" s="94">
        <v>1563.9169999999999</v>
      </c>
      <c r="P123" s="94">
        <v>0</v>
      </c>
      <c r="Q123" s="94">
        <v>0</v>
      </c>
      <c r="R123" s="94">
        <v>0</v>
      </c>
      <c r="S123" s="94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32">
        <f t="shared" si="254"/>
        <v>0</v>
      </c>
    </row>
    <row r="124" spans="1:30" ht="48" customHeight="1">
      <c r="A124" s="58">
        <v>38</v>
      </c>
      <c r="B124" s="42" t="s">
        <v>281</v>
      </c>
      <c r="C124" s="29" t="s">
        <v>301</v>
      </c>
      <c r="D124" s="54" t="s">
        <v>133</v>
      </c>
      <c r="E124" s="31">
        <f>F125</f>
        <v>2232.9719999999998</v>
      </c>
      <c r="F124" s="32">
        <f>F125+F126</f>
        <v>4964.4870000000001</v>
      </c>
      <c r="G124" s="32">
        <f>G125+G126</f>
        <v>0</v>
      </c>
      <c r="H124" s="32">
        <f>H125+H126</f>
        <v>0</v>
      </c>
      <c r="I124" s="33">
        <f t="shared" ref="I124:I126" si="307">SUM(K124:O124)</f>
        <v>4964.4870000000001</v>
      </c>
      <c r="J124" s="32">
        <f t="shared" ref="J124:M124" si="308">J125+J126</f>
        <v>0</v>
      </c>
      <c r="K124" s="32">
        <f t="shared" si="308"/>
        <v>0</v>
      </c>
      <c r="L124" s="32">
        <f t="shared" si="308"/>
        <v>0</v>
      </c>
      <c r="M124" s="32">
        <f t="shared" si="308"/>
        <v>0</v>
      </c>
      <c r="N124" s="95">
        <f>N125+N126</f>
        <v>2381.8890000000001</v>
      </c>
      <c r="O124" s="95">
        <f t="shared" ref="O124:Q124" si="309">O125+O126</f>
        <v>2582.598</v>
      </c>
      <c r="P124" s="95">
        <f t="shared" si="309"/>
        <v>0</v>
      </c>
      <c r="Q124" s="95">
        <f t="shared" si="309"/>
        <v>0</v>
      </c>
      <c r="R124" s="95">
        <v>0</v>
      </c>
      <c r="S124" s="95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f t="shared" si="254"/>
        <v>0</v>
      </c>
    </row>
    <row r="125" spans="1:30" ht="17.25" customHeight="1">
      <c r="A125" s="45"/>
      <c r="B125" s="13" t="s">
        <v>30</v>
      </c>
      <c r="C125" s="35"/>
      <c r="D125" s="36"/>
      <c r="E125" s="37"/>
      <c r="F125" s="38">
        <f>H125+I125+AD125</f>
        <v>2232.9719999999998</v>
      </c>
      <c r="G125" s="39">
        <v>0</v>
      </c>
      <c r="H125" s="38">
        <v>0</v>
      </c>
      <c r="I125" s="38">
        <f t="shared" si="307"/>
        <v>2232.9719999999998</v>
      </c>
      <c r="J125" s="38">
        <v>0</v>
      </c>
      <c r="K125" s="38">
        <v>0</v>
      </c>
      <c r="L125" s="38">
        <v>0</v>
      </c>
      <c r="M125" s="40">
        <v>0</v>
      </c>
      <c r="N125" s="94">
        <v>940.83600000000001</v>
      </c>
      <c r="O125" s="94">
        <v>1292.136</v>
      </c>
      <c r="P125" s="94">
        <v>0</v>
      </c>
      <c r="Q125" s="94">
        <v>0</v>
      </c>
      <c r="R125" s="94">
        <v>0</v>
      </c>
      <c r="S125" s="94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2">
        <f t="shared" si="254"/>
        <v>0</v>
      </c>
    </row>
    <row r="126" spans="1:30" ht="17.25" customHeight="1">
      <c r="A126" s="45"/>
      <c r="B126" s="43" t="s">
        <v>38</v>
      </c>
      <c r="C126" s="35"/>
      <c r="D126" s="36"/>
      <c r="E126" s="37"/>
      <c r="F126" s="38">
        <f>H126+I126+AD126</f>
        <v>2731.5150000000003</v>
      </c>
      <c r="G126" s="39">
        <v>0</v>
      </c>
      <c r="H126" s="38">
        <v>0</v>
      </c>
      <c r="I126" s="38">
        <f t="shared" si="307"/>
        <v>2731.5150000000003</v>
      </c>
      <c r="J126" s="38">
        <v>0</v>
      </c>
      <c r="K126" s="38">
        <v>0</v>
      </c>
      <c r="L126" s="38">
        <v>0</v>
      </c>
      <c r="M126" s="38">
        <v>0</v>
      </c>
      <c r="N126" s="94">
        <v>1441.0530000000001</v>
      </c>
      <c r="O126" s="94">
        <v>1290.462</v>
      </c>
      <c r="P126" s="94">
        <v>0</v>
      </c>
      <c r="Q126" s="94">
        <v>0</v>
      </c>
      <c r="R126" s="94">
        <v>0</v>
      </c>
      <c r="S126" s="94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  <c r="AA126" s="38">
        <v>0</v>
      </c>
      <c r="AB126" s="38">
        <v>0</v>
      </c>
      <c r="AC126" s="38">
        <v>0</v>
      </c>
      <c r="AD126" s="32">
        <f t="shared" si="254"/>
        <v>0</v>
      </c>
    </row>
    <row r="127" spans="1:30" ht="47.25" customHeight="1">
      <c r="A127" s="58">
        <v>39</v>
      </c>
      <c r="B127" s="42" t="s">
        <v>282</v>
      </c>
      <c r="C127" s="29" t="s">
        <v>291</v>
      </c>
      <c r="D127" s="54" t="s">
        <v>133</v>
      </c>
      <c r="E127" s="31">
        <f>F128</f>
        <v>1596.8230000000003</v>
      </c>
      <c r="F127" s="32">
        <f>F128+F129</f>
        <v>3738.7400000000002</v>
      </c>
      <c r="G127" s="32">
        <f>G128+G129</f>
        <v>0</v>
      </c>
      <c r="H127" s="32">
        <f>H128+H129</f>
        <v>0</v>
      </c>
      <c r="I127" s="33">
        <f t="shared" ref="I127:I129" si="310">SUM(K127:O127)</f>
        <v>3738.7400000000002</v>
      </c>
      <c r="J127" s="32">
        <f t="shared" ref="J127:M127" si="311">J128+J129</f>
        <v>0</v>
      </c>
      <c r="K127" s="32">
        <f t="shared" si="311"/>
        <v>0</v>
      </c>
      <c r="L127" s="32">
        <f t="shared" si="311"/>
        <v>0</v>
      </c>
      <c r="M127" s="32">
        <f t="shared" si="311"/>
        <v>0</v>
      </c>
      <c r="N127" s="95">
        <f>N128+N129</f>
        <v>11.605</v>
      </c>
      <c r="O127" s="95">
        <f t="shared" ref="O127:Q127" si="312">O128+O129</f>
        <v>3727.1350000000002</v>
      </c>
      <c r="P127" s="95">
        <f t="shared" si="312"/>
        <v>0</v>
      </c>
      <c r="Q127" s="95">
        <f t="shared" si="312"/>
        <v>0</v>
      </c>
      <c r="R127" s="95">
        <v>0</v>
      </c>
      <c r="S127" s="95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f t="shared" si="254"/>
        <v>0</v>
      </c>
    </row>
    <row r="128" spans="1:30" ht="17.25" customHeight="1">
      <c r="A128" s="45"/>
      <c r="B128" s="13" t="s">
        <v>30</v>
      </c>
      <c r="C128" s="35"/>
      <c r="D128" s="36"/>
      <c r="E128" s="37"/>
      <c r="F128" s="38">
        <f>H128+I128+AD128</f>
        <v>1596.8230000000003</v>
      </c>
      <c r="G128" s="39">
        <v>0</v>
      </c>
      <c r="H128" s="38">
        <v>0</v>
      </c>
      <c r="I128" s="38">
        <f t="shared" si="310"/>
        <v>1596.8230000000003</v>
      </c>
      <c r="J128" s="38">
        <v>0</v>
      </c>
      <c r="K128" s="38">
        <v>0</v>
      </c>
      <c r="L128" s="38">
        <v>0</v>
      </c>
      <c r="M128" s="40">
        <v>0</v>
      </c>
      <c r="N128" s="94">
        <v>4.2860000000000005</v>
      </c>
      <c r="O128" s="94">
        <v>1592.5370000000003</v>
      </c>
      <c r="P128" s="94">
        <v>0</v>
      </c>
      <c r="Q128" s="94">
        <v>0</v>
      </c>
      <c r="R128" s="94">
        <v>0</v>
      </c>
      <c r="S128" s="94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2">
        <f t="shared" si="254"/>
        <v>0</v>
      </c>
    </row>
    <row r="129" spans="1:30" ht="17.25" customHeight="1">
      <c r="A129" s="45"/>
      <c r="B129" s="43" t="s">
        <v>38</v>
      </c>
      <c r="C129" s="35"/>
      <c r="D129" s="36"/>
      <c r="E129" s="37"/>
      <c r="F129" s="38">
        <f>H129+I129+AD129</f>
        <v>2141.9169999999999</v>
      </c>
      <c r="G129" s="39">
        <v>0</v>
      </c>
      <c r="H129" s="38">
        <v>0</v>
      </c>
      <c r="I129" s="38">
        <f t="shared" si="310"/>
        <v>2141.9169999999999</v>
      </c>
      <c r="J129" s="38">
        <v>0</v>
      </c>
      <c r="K129" s="38">
        <v>0</v>
      </c>
      <c r="L129" s="38">
        <v>0</v>
      </c>
      <c r="M129" s="38">
        <v>0</v>
      </c>
      <c r="N129" s="94">
        <v>7.319</v>
      </c>
      <c r="O129" s="94">
        <v>2134.598</v>
      </c>
      <c r="P129" s="94">
        <v>0</v>
      </c>
      <c r="Q129" s="94">
        <v>0</v>
      </c>
      <c r="R129" s="94">
        <v>0</v>
      </c>
      <c r="S129" s="94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2">
        <f t="shared" si="254"/>
        <v>0</v>
      </c>
    </row>
    <row r="130" spans="1:30" ht="21.75" customHeight="1">
      <c r="A130" s="58">
        <v>40</v>
      </c>
      <c r="B130" s="42" t="s">
        <v>275</v>
      </c>
      <c r="C130" s="29" t="s">
        <v>276</v>
      </c>
      <c r="D130" s="54" t="s">
        <v>133</v>
      </c>
      <c r="E130" s="31">
        <f>F131</f>
        <v>539.08300000000008</v>
      </c>
      <c r="F130" s="32">
        <f>F131+F132</f>
        <v>1707.7780000000002</v>
      </c>
      <c r="G130" s="32">
        <f>G131+G132</f>
        <v>0</v>
      </c>
      <c r="H130" s="32">
        <f>H131+H132</f>
        <v>0</v>
      </c>
      <c r="I130" s="33">
        <f t="shared" ref="I130:I132" si="313">SUM(K130:O130)</f>
        <v>1707.7780000000002</v>
      </c>
      <c r="J130" s="32">
        <f t="shared" ref="J130:Q130" si="314">J131+J132</f>
        <v>0</v>
      </c>
      <c r="K130" s="32">
        <f t="shared" si="314"/>
        <v>0</v>
      </c>
      <c r="L130" s="32">
        <f t="shared" si="314"/>
        <v>0</v>
      </c>
      <c r="M130" s="32">
        <f t="shared" si="314"/>
        <v>0</v>
      </c>
      <c r="N130" s="95">
        <f t="shared" si="314"/>
        <v>0</v>
      </c>
      <c r="O130" s="95">
        <f t="shared" si="314"/>
        <v>1707.7780000000002</v>
      </c>
      <c r="P130" s="95">
        <f t="shared" si="314"/>
        <v>0</v>
      </c>
      <c r="Q130" s="95">
        <f t="shared" si="314"/>
        <v>0</v>
      </c>
      <c r="R130" s="95">
        <v>0</v>
      </c>
      <c r="S130" s="95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f t="shared" si="254"/>
        <v>0</v>
      </c>
    </row>
    <row r="131" spans="1:30" ht="17.25" customHeight="1">
      <c r="A131" s="45"/>
      <c r="B131" s="13" t="s">
        <v>30</v>
      </c>
      <c r="C131" s="35"/>
      <c r="D131" s="36"/>
      <c r="E131" s="37"/>
      <c r="F131" s="38">
        <f>H131+I131+AD131</f>
        <v>539.08300000000008</v>
      </c>
      <c r="G131" s="39">
        <v>0</v>
      </c>
      <c r="H131" s="38">
        <v>0</v>
      </c>
      <c r="I131" s="38">
        <f t="shared" si="313"/>
        <v>539.08300000000008</v>
      </c>
      <c r="J131" s="38">
        <v>0</v>
      </c>
      <c r="K131" s="38">
        <v>0</v>
      </c>
      <c r="L131" s="38">
        <v>0</v>
      </c>
      <c r="M131" s="40">
        <v>0</v>
      </c>
      <c r="N131" s="94">
        <v>0</v>
      </c>
      <c r="O131" s="94">
        <v>539.08300000000008</v>
      </c>
      <c r="P131" s="94">
        <v>0</v>
      </c>
      <c r="Q131" s="94">
        <v>0</v>
      </c>
      <c r="R131" s="94">
        <v>0</v>
      </c>
      <c r="S131" s="94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2">
        <f t="shared" si="254"/>
        <v>0</v>
      </c>
    </row>
    <row r="132" spans="1:30" ht="17.25" customHeight="1">
      <c r="A132" s="45"/>
      <c r="B132" s="43" t="s">
        <v>38</v>
      </c>
      <c r="C132" s="35"/>
      <c r="D132" s="36"/>
      <c r="E132" s="37"/>
      <c r="F132" s="38">
        <f>H132+I132+AD132</f>
        <v>1168.6950000000002</v>
      </c>
      <c r="G132" s="39">
        <v>0</v>
      </c>
      <c r="H132" s="38">
        <v>0</v>
      </c>
      <c r="I132" s="38">
        <f t="shared" si="313"/>
        <v>1168.6950000000002</v>
      </c>
      <c r="J132" s="38">
        <v>0</v>
      </c>
      <c r="K132" s="38">
        <v>0</v>
      </c>
      <c r="L132" s="38">
        <v>0</v>
      </c>
      <c r="M132" s="38">
        <v>0</v>
      </c>
      <c r="N132" s="94">
        <v>0</v>
      </c>
      <c r="O132" s="94">
        <v>1168.6950000000002</v>
      </c>
      <c r="P132" s="94">
        <v>0</v>
      </c>
      <c r="Q132" s="94">
        <v>0</v>
      </c>
      <c r="R132" s="94">
        <v>0</v>
      </c>
      <c r="S132" s="94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32">
        <f t="shared" si="254"/>
        <v>0</v>
      </c>
    </row>
    <row r="133" spans="1:30" ht="21.75" customHeight="1">
      <c r="A133" s="58">
        <v>41</v>
      </c>
      <c r="B133" s="42" t="s">
        <v>115</v>
      </c>
      <c r="C133" s="29" t="s">
        <v>266</v>
      </c>
      <c r="D133" s="54" t="s">
        <v>83</v>
      </c>
      <c r="E133" s="31">
        <f>F134</f>
        <v>820.70300000000009</v>
      </c>
      <c r="F133" s="32">
        <f>F134+F135</f>
        <v>2723.1179999999999</v>
      </c>
      <c r="G133" s="32">
        <f>G134+G135</f>
        <v>0</v>
      </c>
      <c r="H133" s="32">
        <f>H134+H135</f>
        <v>0</v>
      </c>
      <c r="I133" s="33">
        <f t="shared" si="251"/>
        <v>3058.86</v>
      </c>
      <c r="J133" s="32">
        <f t="shared" ref="J133:L133" si="315">J134+J135</f>
        <v>0</v>
      </c>
      <c r="K133" s="32">
        <f t="shared" si="315"/>
        <v>0</v>
      </c>
      <c r="L133" s="32">
        <f t="shared" si="315"/>
        <v>0</v>
      </c>
      <c r="M133" s="32">
        <f>M134+M135+M136</f>
        <v>282.97500000000002</v>
      </c>
      <c r="N133" s="95">
        <f>N134+N135+N136</f>
        <v>1192.4829999999999</v>
      </c>
      <c r="O133" s="95">
        <f t="shared" ref="O133:Q133" si="316">O134+O135+O136</f>
        <v>1583.402</v>
      </c>
      <c r="P133" s="95">
        <f t="shared" si="316"/>
        <v>0</v>
      </c>
      <c r="Q133" s="95">
        <f t="shared" si="316"/>
        <v>0</v>
      </c>
      <c r="R133" s="95">
        <v>0</v>
      </c>
      <c r="S133" s="95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v>0</v>
      </c>
      <c r="AD133" s="32">
        <f t="shared" si="254"/>
        <v>0</v>
      </c>
    </row>
    <row r="134" spans="1:30" ht="17.25" customHeight="1">
      <c r="A134" s="45"/>
      <c r="B134" s="13" t="s">
        <v>30</v>
      </c>
      <c r="C134" s="35"/>
      <c r="D134" s="36"/>
      <c r="E134" s="37"/>
      <c r="F134" s="38">
        <f>H134+I134+AD134</f>
        <v>820.70300000000009</v>
      </c>
      <c r="G134" s="39">
        <v>0</v>
      </c>
      <c r="H134" s="38">
        <v>0</v>
      </c>
      <c r="I134" s="38">
        <f t="shared" si="251"/>
        <v>820.70300000000009</v>
      </c>
      <c r="J134" s="38">
        <v>0</v>
      </c>
      <c r="K134" s="38">
        <v>0</v>
      </c>
      <c r="L134" s="38">
        <v>0</v>
      </c>
      <c r="M134" s="38">
        <v>75.953000000000003</v>
      </c>
      <c r="N134" s="94">
        <v>354.82800000000003</v>
      </c>
      <c r="O134" s="93">
        <v>389.92200000000003</v>
      </c>
      <c r="P134" s="94">
        <v>0</v>
      </c>
      <c r="Q134" s="94">
        <v>0</v>
      </c>
      <c r="R134" s="94">
        <v>0</v>
      </c>
      <c r="S134" s="94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2">
        <f t="shared" si="254"/>
        <v>0</v>
      </c>
    </row>
    <row r="135" spans="1:30" ht="17.25" customHeight="1">
      <c r="A135" s="45"/>
      <c r="B135" s="43" t="s">
        <v>38</v>
      </c>
      <c r="C135" s="35"/>
      <c r="D135" s="36"/>
      <c r="E135" s="37"/>
      <c r="F135" s="38">
        <f>H135+I135+AD135</f>
        <v>1902.415</v>
      </c>
      <c r="G135" s="39">
        <v>0</v>
      </c>
      <c r="H135" s="38">
        <v>0</v>
      </c>
      <c r="I135" s="38">
        <f t="shared" si="251"/>
        <v>1902.415</v>
      </c>
      <c r="J135" s="38">
        <v>0</v>
      </c>
      <c r="K135" s="38">
        <v>0</v>
      </c>
      <c r="L135" s="38">
        <v>0</v>
      </c>
      <c r="M135" s="38">
        <f>176.09-0.14</f>
        <v>175.95000000000002</v>
      </c>
      <c r="N135" s="94">
        <v>641.90499999999997</v>
      </c>
      <c r="O135" s="93">
        <v>1084.56</v>
      </c>
      <c r="P135" s="94">
        <v>0</v>
      </c>
      <c r="Q135" s="94">
        <v>0</v>
      </c>
      <c r="R135" s="94">
        <v>0</v>
      </c>
      <c r="S135" s="94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2">
        <f t="shared" si="254"/>
        <v>0</v>
      </c>
    </row>
    <row r="136" spans="1:30" ht="17.25" customHeight="1">
      <c r="A136" s="45"/>
      <c r="B136" s="43" t="s">
        <v>70</v>
      </c>
      <c r="C136" s="35"/>
      <c r="D136" s="36"/>
      <c r="E136" s="37"/>
      <c r="F136" s="38">
        <f>H136+I136+AD136</f>
        <v>335.74200000000002</v>
      </c>
      <c r="G136" s="39"/>
      <c r="H136" s="38"/>
      <c r="I136" s="38">
        <f t="shared" si="251"/>
        <v>335.74200000000002</v>
      </c>
      <c r="J136" s="38"/>
      <c r="K136" s="38"/>
      <c r="L136" s="38"/>
      <c r="M136" s="38">
        <v>31.071999999999999</v>
      </c>
      <c r="N136" s="94">
        <v>195.75</v>
      </c>
      <c r="O136" s="94">
        <v>108.92</v>
      </c>
      <c r="P136" s="94">
        <v>0</v>
      </c>
      <c r="Q136" s="94">
        <v>0</v>
      </c>
      <c r="R136" s="94">
        <v>0</v>
      </c>
      <c r="S136" s="9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2"/>
    </row>
    <row r="137" spans="1:30" ht="36.75" customHeight="1">
      <c r="A137" s="58">
        <v>42</v>
      </c>
      <c r="B137" s="42" t="s">
        <v>116</v>
      </c>
      <c r="C137" s="29" t="s">
        <v>266</v>
      </c>
      <c r="D137" s="54" t="s">
        <v>73</v>
      </c>
      <c r="E137" s="31">
        <f>F138</f>
        <v>660.577</v>
      </c>
      <c r="F137" s="32">
        <f>F138+F139+F140</f>
        <v>860.577</v>
      </c>
      <c r="G137" s="59">
        <v>0</v>
      </c>
      <c r="H137" s="33">
        <v>0</v>
      </c>
      <c r="I137" s="33">
        <f t="shared" ref="I137:I146" si="317">SUM(K137:O137)</f>
        <v>860.577</v>
      </c>
      <c r="J137" s="32">
        <f>J138+J139+J140</f>
        <v>0</v>
      </c>
      <c r="K137" s="32">
        <f t="shared" ref="K137:Q137" si="318">K138+K139+K140</f>
        <v>0</v>
      </c>
      <c r="L137" s="32">
        <f t="shared" si="318"/>
        <v>400</v>
      </c>
      <c r="M137" s="32">
        <f t="shared" si="318"/>
        <v>0</v>
      </c>
      <c r="N137" s="95">
        <f t="shared" si="318"/>
        <v>0</v>
      </c>
      <c r="O137" s="95">
        <f t="shared" si="318"/>
        <v>460.577</v>
      </c>
      <c r="P137" s="95">
        <f t="shared" si="318"/>
        <v>0</v>
      </c>
      <c r="Q137" s="95">
        <f t="shared" si="318"/>
        <v>0</v>
      </c>
      <c r="R137" s="95">
        <v>0</v>
      </c>
      <c r="S137" s="95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f t="shared" ref="AD137:AD172" si="319">P137+Q137+R137</f>
        <v>0</v>
      </c>
    </row>
    <row r="138" spans="1:30" ht="17.25" customHeight="1">
      <c r="A138" s="45"/>
      <c r="B138" s="13" t="s">
        <v>30</v>
      </c>
      <c r="C138" s="35"/>
      <c r="D138" s="36"/>
      <c r="E138" s="37"/>
      <c r="F138" s="38">
        <f>H138+I138+AD138</f>
        <v>660.577</v>
      </c>
      <c r="G138" s="39">
        <v>0</v>
      </c>
      <c r="H138" s="38">
        <v>0</v>
      </c>
      <c r="I138" s="38">
        <f t="shared" si="317"/>
        <v>660.577</v>
      </c>
      <c r="J138" s="38">
        <v>0</v>
      </c>
      <c r="K138" s="38">
        <v>0</v>
      </c>
      <c r="L138" s="38">
        <v>200</v>
      </c>
      <c r="M138" s="38">
        <v>0</v>
      </c>
      <c r="N138" s="94">
        <v>0</v>
      </c>
      <c r="O138" s="94">
        <v>460.577</v>
      </c>
      <c r="P138" s="94">
        <v>0</v>
      </c>
      <c r="Q138" s="94">
        <v>0</v>
      </c>
      <c r="R138" s="94">
        <v>0</v>
      </c>
      <c r="S138" s="94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2">
        <f t="shared" si="319"/>
        <v>0</v>
      </c>
    </row>
    <row r="139" spans="1:30" ht="17.25" customHeight="1">
      <c r="A139" s="45"/>
      <c r="B139" s="121" t="s">
        <v>38</v>
      </c>
      <c r="C139" s="35"/>
      <c r="D139" s="36"/>
      <c r="E139" s="37"/>
      <c r="F139" s="38">
        <f>H139+I139+AD139</f>
        <v>0</v>
      </c>
      <c r="G139" s="39">
        <v>0</v>
      </c>
      <c r="H139" s="38">
        <v>0</v>
      </c>
      <c r="I139" s="38">
        <f t="shared" si="317"/>
        <v>0</v>
      </c>
      <c r="J139" s="38">
        <v>0</v>
      </c>
      <c r="K139" s="38">
        <v>0</v>
      </c>
      <c r="L139" s="38">
        <v>0</v>
      </c>
      <c r="M139" s="38">
        <v>0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2">
        <f t="shared" si="319"/>
        <v>0</v>
      </c>
    </row>
    <row r="140" spans="1:30" ht="17.25" customHeight="1">
      <c r="A140" s="45"/>
      <c r="B140" s="13" t="s">
        <v>118</v>
      </c>
      <c r="C140" s="35"/>
      <c r="D140" s="36"/>
      <c r="E140" s="37"/>
      <c r="F140" s="38">
        <f>H140+I140+AD140</f>
        <v>200</v>
      </c>
      <c r="G140" s="39">
        <v>0</v>
      </c>
      <c r="H140" s="38">
        <v>0</v>
      </c>
      <c r="I140" s="38">
        <f t="shared" si="317"/>
        <v>200</v>
      </c>
      <c r="J140" s="38">
        <v>0</v>
      </c>
      <c r="K140" s="38">
        <v>0</v>
      </c>
      <c r="L140" s="38">
        <v>200</v>
      </c>
      <c r="M140" s="38">
        <v>0</v>
      </c>
      <c r="N140" s="93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2">
        <f t="shared" si="319"/>
        <v>0</v>
      </c>
    </row>
    <row r="141" spans="1:30" ht="21.75" customHeight="1">
      <c r="A141" s="25">
        <v>43</v>
      </c>
      <c r="B141" s="28" t="s">
        <v>119</v>
      </c>
      <c r="C141" s="29" t="s">
        <v>99</v>
      </c>
      <c r="D141" s="30" t="s">
        <v>120</v>
      </c>
      <c r="E141" s="31">
        <f>F142</f>
        <v>48558.195</v>
      </c>
      <c r="F141" s="32">
        <f>F142</f>
        <v>48558.195</v>
      </c>
      <c r="G141" s="33">
        <v>27734.113000000001</v>
      </c>
      <c r="H141" s="33">
        <v>30055.238000000001</v>
      </c>
      <c r="I141" s="33">
        <f t="shared" si="317"/>
        <v>18502.956999999999</v>
      </c>
      <c r="J141" s="32">
        <f>J142</f>
        <v>2321.125</v>
      </c>
      <c r="K141" s="32">
        <f t="shared" ref="K141:M141" si="320">K142</f>
        <v>5585.5339999999997</v>
      </c>
      <c r="L141" s="32">
        <f t="shared" si="320"/>
        <v>6105.2510000000002</v>
      </c>
      <c r="M141" s="32">
        <f t="shared" si="320"/>
        <v>5345.268</v>
      </c>
      <c r="N141" s="95">
        <f>N142</f>
        <v>1466.904</v>
      </c>
      <c r="O141" s="95">
        <f t="shared" ref="O141:Q141" si="321">O142</f>
        <v>0</v>
      </c>
      <c r="P141" s="95">
        <f t="shared" si="321"/>
        <v>0</v>
      </c>
      <c r="Q141" s="95">
        <f t="shared" si="321"/>
        <v>0</v>
      </c>
      <c r="R141" s="95">
        <v>0</v>
      </c>
      <c r="S141" s="95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f t="shared" si="319"/>
        <v>0</v>
      </c>
    </row>
    <row r="142" spans="1:30" ht="17.25" customHeight="1">
      <c r="A142" s="45"/>
      <c r="B142" s="13" t="s">
        <v>30</v>
      </c>
      <c r="C142" s="35"/>
      <c r="D142" s="36"/>
      <c r="E142" s="37"/>
      <c r="F142" s="38">
        <f>H142+I142+AD142</f>
        <v>48558.195</v>
      </c>
      <c r="G142" s="39">
        <v>27734.113000000001</v>
      </c>
      <c r="H142" s="38">
        <v>30055.238000000001</v>
      </c>
      <c r="I142" s="38">
        <f t="shared" si="317"/>
        <v>18502.956999999999</v>
      </c>
      <c r="J142" s="38">
        <v>2321.125</v>
      </c>
      <c r="K142" s="38">
        <v>5585.5339999999997</v>
      </c>
      <c r="L142" s="38">
        <v>6105.2510000000002</v>
      </c>
      <c r="M142" s="38">
        <v>5345.268</v>
      </c>
      <c r="N142" s="94">
        <v>1466.904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2">
        <f t="shared" si="319"/>
        <v>0</v>
      </c>
    </row>
    <row r="143" spans="1:30" ht="21.75" customHeight="1">
      <c r="A143" s="25">
        <v>44</v>
      </c>
      <c r="B143" s="42" t="s">
        <v>95</v>
      </c>
      <c r="C143" s="29" t="s">
        <v>303</v>
      </c>
      <c r="D143" s="60" t="s">
        <v>84</v>
      </c>
      <c r="E143" s="31">
        <f>F144</f>
        <v>21337.966</v>
      </c>
      <c r="F143" s="32">
        <f>F144</f>
        <v>21337.966</v>
      </c>
      <c r="G143" s="33">
        <f>G144</f>
        <v>0</v>
      </c>
      <c r="H143" s="33">
        <f>H144</f>
        <v>0</v>
      </c>
      <c r="I143" s="33">
        <f t="shared" si="317"/>
        <v>16437.966</v>
      </c>
      <c r="J143" s="32">
        <f>J144</f>
        <v>0</v>
      </c>
      <c r="K143" s="32">
        <f t="shared" ref="K143:M143" si="322">K144</f>
        <v>0</v>
      </c>
      <c r="L143" s="32">
        <f t="shared" si="322"/>
        <v>0</v>
      </c>
      <c r="M143" s="32">
        <f t="shared" si="322"/>
        <v>739</v>
      </c>
      <c r="N143" s="95">
        <f>N144</f>
        <v>3812.6689999999999</v>
      </c>
      <c r="O143" s="95">
        <f t="shared" ref="O143:Q143" si="323">O144</f>
        <v>11886.296999999999</v>
      </c>
      <c r="P143" s="95">
        <f t="shared" si="323"/>
        <v>4900</v>
      </c>
      <c r="Q143" s="95">
        <f t="shared" si="323"/>
        <v>0</v>
      </c>
      <c r="R143" s="95">
        <v>0</v>
      </c>
      <c r="S143" s="95">
        <v>0</v>
      </c>
      <c r="T143" s="32">
        <v>0</v>
      </c>
      <c r="U143" s="32">
        <v>0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B143" s="32">
        <v>0</v>
      </c>
      <c r="AC143" s="32">
        <v>0</v>
      </c>
      <c r="AD143" s="32">
        <f t="shared" si="319"/>
        <v>4900</v>
      </c>
    </row>
    <row r="144" spans="1:30" ht="17.25" customHeight="1">
      <c r="A144" s="45"/>
      <c r="B144" s="13" t="s">
        <v>30</v>
      </c>
      <c r="C144" s="35"/>
      <c r="D144" s="36"/>
      <c r="E144" s="37"/>
      <c r="F144" s="38">
        <f>H144+I144+AD144</f>
        <v>21337.966</v>
      </c>
      <c r="G144" s="39">
        <v>0</v>
      </c>
      <c r="H144" s="38">
        <v>0</v>
      </c>
      <c r="I144" s="38">
        <f t="shared" si="317"/>
        <v>16437.966</v>
      </c>
      <c r="J144" s="38">
        <v>0</v>
      </c>
      <c r="K144" s="38">
        <v>0</v>
      </c>
      <c r="L144" s="38">
        <v>0</v>
      </c>
      <c r="M144" s="38">
        <v>739</v>
      </c>
      <c r="N144" s="93">
        <v>3812.6689999999999</v>
      </c>
      <c r="O144" s="93">
        <v>11886.296999999999</v>
      </c>
      <c r="P144" s="93">
        <v>4900</v>
      </c>
      <c r="Q144" s="93"/>
      <c r="R144" s="94">
        <v>0</v>
      </c>
      <c r="S144" s="94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38">
        <v>0</v>
      </c>
      <c r="AD144" s="32">
        <f t="shared" si="319"/>
        <v>4900</v>
      </c>
    </row>
    <row r="145" spans="1:30" ht="21.75" customHeight="1">
      <c r="A145" s="25">
        <v>45</v>
      </c>
      <c r="B145" s="42" t="s">
        <v>121</v>
      </c>
      <c r="C145" s="29" t="s">
        <v>122</v>
      </c>
      <c r="D145" s="30" t="s">
        <v>191</v>
      </c>
      <c r="E145" s="31">
        <f>F146</f>
        <v>6943.1949999999997</v>
      </c>
      <c r="F145" s="32">
        <f>F146</f>
        <v>6943.1949999999997</v>
      </c>
      <c r="G145" s="33">
        <f>G146</f>
        <v>0</v>
      </c>
      <c r="H145" s="33">
        <f>H146</f>
        <v>714.9</v>
      </c>
      <c r="I145" s="33">
        <f t="shared" si="317"/>
        <v>6228.2950000000001</v>
      </c>
      <c r="J145" s="32">
        <f>J146</f>
        <v>714.9</v>
      </c>
      <c r="K145" s="32">
        <f t="shared" ref="K145:M145" si="324">K146</f>
        <v>934.5</v>
      </c>
      <c r="L145" s="32">
        <f t="shared" si="324"/>
        <v>2160.5880000000002</v>
      </c>
      <c r="M145" s="32">
        <f t="shared" si="324"/>
        <v>2073.2069999999999</v>
      </c>
      <c r="N145" s="95">
        <f>N146</f>
        <v>500</v>
      </c>
      <c r="O145" s="95">
        <f t="shared" ref="O145:Q145" si="325">O146</f>
        <v>560</v>
      </c>
      <c r="P145" s="95">
        <f t="shared" si="325"/>
        <v>0</v>
      </c>
      <c r="Q145" s="95">
        <f t="shared" si="325"/>
        <v>0</v>
      </c>
      <c r="R145" s="95">
        <v>0</v>
      </c>
      <c r="S145" s="95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2">
        <v>0</v>
      </c>
      <c r="AB145" s="32">
        <v>0</v>
      </c>
      <c r="AC145" s="32">
        <v>0</v>
      </c>
      <c r="AD145" s="32">
        <f t="shared" si="319"/>
        <v>0</v>
      </c>
    </row>
    <row r="146" spans="1:30" ht="17.25" customHeight="1">
      <c r="A146" s="45"/>
      <c r="B146" s="13" t="s">
        <v>30</v>
      </c>
      <c r="C146" s="35"/>
      <c r="D146" s="36"/>
      <c r="E146" s="37"/>
      <c r="F146" s="38">
        <f>H146+I146+AD146</f>
        <v>6943.1949999999997</v>
      </c>
      <c r="G146" s="39">
        <v>0</v>
      </c>
      <c r="H146" s="38">
        <v>714.9</v>
      </c>
      <c r="I146" s="38">
        <f t="shared" si="317"/>
        <v>6228.2950000000001</v>
      </c>
      <c r="J146" s="38">
        <v>714.9</v>
      </c>
      <c r="K146" s="38">
        <v>934.5</v>
      </c>
      <c r="L146" s="38">
        <v>2160.5880000000002</v>
      </c>
      <c r="M146" s="40">
        <v>2073.2069999999999</v>
      </c>
      <c r="N146" s="94">
        <v>500</v>
      </c>
      <c r="O146" s="94">
        <v>560</v>
      </c>
      <c r="P146" s="94"/>
      <c r="Q146" s="94"/>
      <c r="R146" s="94">
        <v>0</v>
      </c>
      <c r="S146" s="94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2">
        <f t="shared" si="319"/>
        <v>0</v>
      </c>
    </row>
    <row r="147" spans="1:30" ht="21.75" customHeight="1">
      <c r="A147" s="61" t="s">
        <v>123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102"/>
      <c r="O147" s="102"/>
      <c r="P147" s="102"/>
      <c r="Q147" s="102"/>
      <c r="R147" s="102"/>
      <c r="S147" s="102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32">
        <f t="shared" si="319"/>
        <v>0</v>
      </c>
    </row>
    <row r="148" spans="1:30" ht="21.75" customHeight="1">
      <c r="A148" s="25">
        <v>46</v>
      </c>
      <c r="B148" s="63" t="s">
        <v>124</v>
      </c>
      <c r="C148" s="29" t="s">
        <v>125</v>
      </c>
      <c r="D148" s="30" t="s">
        <v>308</v>
      </c>
      <c r="E148" s="31">
        <f>F149</f>
        <v>18611.847999999998</v>
      </c>
      <c r="F148" s="32">
        <f>F149</f>
        <v>18611.847999999998</v>
      </c>
      <c r="G148" s="33">
        <f>G149</f>
        <v>15502.018</v>
      </c>
      <c r="H148" s="33">
        <f>H149</f>
        <v>16502.018</v>
      </c>
      <c r="I148" s="33">
        <f t="shared" ref="I148:I159" si="326">SUM(K148:O148)</f>
        <v>2109.83</v>
      </c>
      <c r="J148" s="32">
        <f>J149</f>
        <v>1000</v>
      </c>
      <c r="K148" s="32">
        <f t="shared" ref="K148:Q148" si="327">K149</f>
        <v>749.83</v>
      </c>
      <c r="L148" s="32">
        <f t="shared" si="327"/>
        <v>650</v>
      </c>
      <c r="M148" s="32">
        <f t="shared" si="327"/>
        <v>400</v>
      </c>
      <c r="N148" s="96">
        <f t="shared" si="327"/>
        <v>310</v>
      </c>
      <c r="O148" s="96">
        <f t="shared" si="327"/>
        <v>0</v>
      </c>
      <c r="P148" s="96">
        <f t="shared" si="327"/>
        <v>0</v>
      </c>
      <c r="Q148" s="96">
        <f t="shared" si="327"/>
        <v>0</v>
      </c>
      <c r="R148" s="95">
        <v>0</v>
      </c>
      <c r="S148" s="95">
        <f t="shared" ref="S148:AC148" si="328">S149</f>
        <v>0</v>
      </c>
      <c r="T148" s="32">
        <f t="shared" si="328"/>
        <v>0</v>
      </c>
      <c r="U148" s="32">
        <f t="shared" si="328"/>
        <v>0</v>
      </c>
      <c r="V148" s="32">
        <f t="shared" si="328"/>
        <v>0</v>
      </c>
      <c r="W148" s="32">
        <f t="shared" si="328"/>
        <v>0</v>
      </c>
      <c r="X148" s="32">
        <f t="shared" si="328"/>
        <v>0</v>
      </c>
      <c r="Y148" s="32">
        <f t="shared" si="328"/>
        <v>0</v>
      </c>
      <c r="Z148" s="32">
        <f t="shared" si="328"/>
        <v>0</v>
      </c>
      <c r="AA148" s="32">
        <f t="shared" si="328"/>
        <v>0</v>
      </c>
      <c r="AB148" s="32">
        <f t="shared" si="328"/>
        <v>0</v>
      </c>
      <c r="AC148" s="32">
        <f t="shared" si="328"/>
        <v>0</v>
      </c>
      <c r="AD148" s="32">
        <f t="shared" si="319"/>
        <v>0</v>
      </c>
    </row>
    <row r="149" spans="1:30" ht="17.25" customHeight="1">
      <c r="A149" s="45"/>
      <c r="B149" s="13" t="s">
        <v>30</v>
      </c>
      <c r="C149" s="35"/>
      <c r="D149" s="36"/>
      <c r="E149" s="37"/>
      <c r="F149" s="38">
        <f>H149+I149+AD149</f>
        <v>18611.847999999998</v>
      </c>
      <c r="G149" s="39">
        <v>15502.018</v>
      </c>
      <c r="H149" s="38">
        <v>16502.018</v>
      </c>
      <c r="I149" s="38">
        <f t="shared" si="326"/>
        <v>2109.83</v>
      </c>
      <c r="J149" s="38">
        <v>1000</v>
      </c>
      <c r="K149" s="38">
        <v>749.83</v>
      </c>
      <c r="L149" s="38">
        <v>650</v>
      </c>
      <c r="M149" s="40">
        <f>1481-1081</f>
        <v>400</v>
      </c>
      <c r="N149" s="94">
        <v>310</v>
      </c>
      <c r="O149" s="94">
        <v>0</v>
      </c>
      <c r="P149" s="94">
        <v>0</v>
      </c>
      <c r="Q149" s="94">
        <v>0</v>
      </c>
      <c r="R149" s="94">
        <v>0</v>
      </c>
      <c r="S149" s="94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38">
        <v>0</v>
      </c>
      <c r="AD149" s="32">
        <f t="shared" si="319"/>
        <v>0</v>
      </c>
    </row>
    <row r="150" spans="1:30" ht="21.75" customHeight="1">
      <c r="A150" s="25">
        <v>47</v>
      </c>
      <c r="B150" s="42" t="s">
        <v>127</v>
      </c>
      <c r="C150" s="29" t="s">
        <v>310</v>
      </c>
      <c r="D150" s="30" t="s">
        <v>309</v>
      </c>
      <c r="E150" s="31">
        <f>F151</f>
        <v>67852.882000000012</v>
      </c>
      <c r="F150" s="32">
        <f>F151</f>
        <v>67852.882000000012</v>
      </c>
      <c r="G150" s="33">
        <f>G151</f>
        <v>15329.906000000001</v>
      </c>
      <c r="H150" s="33">
        <f>H151</f>
        <v>18697.406000000003</v>
      </c>
      <c r="I150" s="33">
        <f t="shared" si="326"/>
        <v>35451.476000000002</v>
      </c>
      <c r="J150" s="32">
        <f>J151</f>
        <v>3367.5</v>
      </c>
      <c r="K150" s="32">
        <f t="shared" ref="K150:Q150" si="329">K151</f>
        <v>3919.9679999999998</v>
      </c>
      <c r="L150" s="32">
        <f t="shared" si="329"/>
        <v>3067.3719999999998</v>
      </c>
      <c r="M150" s="32">
        <f t="shared" si="329"/>
        <v>17793.811000000002</v>
      </c>
      <c r="N150" s="95">
        <f t="shared" si="329"/>
        <v>6148.4930000000004</v>
      </c>
      <c r="O150" s="95">
        <f t="shared" si="329"/>
        <v>4521.8320000000003</v>
      </c>
      <c r="P150" s="95">
        <f t="shared" si="329"/>
        <v>10800</v>
      </c>
      <c r="Q150" s="95">
        <f t="shared" si="329"/>
        <v>804</v>
      </c>
      <c r="R150" s="95">
        <v>2100</v>
      </c>
      <c r="S150" s="95">
        <f t="shared" ref="S150:AC150" si="330">S151</f>
        <v>800</v>
      </c>
      <c r="T150" s="32">
        <f t="shared" si="330"/>
        <v>800</v>
      </c>
      <c r="U150" s="32">
        <f t="shared" si="330"/>
        <v>500</v>
      </c>
      <c r="V150" s="32">
        <f t="shared" si="330"/>
        <v>0</v>
      </c>
      <c r="W150" s="32">
        <f t="shared" si="330"/>
        <v>0</v>
      </c>
      <c r="X150" s="32">
        <f t="shared" si="330"/>
        <v>0</v>
      </c>
      <c r="Y150" s="32">
        <f t="shared" si="330"/>
        <v>0</v>
      </c>
      <c r="Z150" s="32">
        <f t="shared" si="330"/>
        <v>0</v>
      </c>
      <c r="AA150" s="32">
        <f t="shared" si="330"/>
        <v>0</v>
      </c>
      <c r="AB150" s="32">
        <f t="shared" si="330"/>
        <v>0</v>
      </c>
      <c r="AC150" s="32">
        <f t="shared" si="330"/>
        <v>0</v>
      </c>
      <c r="AD150" s="32">
        <f t="shared" si="319"/>
        <v>13704</v>
      </c>
    </row>
    <row r="151" spans="1:30" ht="17.25" customHeight="1">
      <c r="A151" s="45"/>
      <c r="B151" s="13" t="s">
        <v>30</v>
      </c>
      <c r="C151" s="35"/>
      <c r="D151" s="36"/>
      <c r="E151" s="37"/>
      <c r="F151" s="38">
        <f>H151+I151+AD151</f>
        <v>67852.882000000012</v>
      </c>
      <c r="G151" s="39">
        <v>15329.906000000001</v>
      </c>
      <c r="H151" s="38">
        <v>18697.406000000003</v>
      </c>
      <c r="I151" s="38">
        <f t="shared" si="326"/>
        <v>35451.476000000002</v>
      </c>
      <c r="J151" s="38">
        <v>3367.5</v>
      </c>
      <c r="K151" s="38">
        <v>3919.9679999999998</v>
      </c>
      <c r="L151" s="38">
        <v>3067.3719999999998</v>
      </c>
      <c r="M151" s="40">
        <v>17793.811000000002</v>
      </c>
      <c r="N151" s="94">
        <f>2670.273+3478.22</f>
        <v>6148.4930000000004</v>
      </c>
      <c r="O151" s="94">
        <v>4521.8320000000003</v>
      </c>
      <c r="P151" s="94">
        <v>10800</v>
      </c>
      <c r="Q151" s="94">
        <v>804</v>
      </c>
      <c r="R151" s="94">
        <v>2100</v>
      </c>
      <c r="S151" s="94">
        <v>800</v>
      </c>
      <c r="T151" s="38">
        <v>800</v>
      </c>
      <c r="U151" s="38">
        <v>500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2">
        <f t="shared" si="319"/>
        <v>13704</v>
      </c>
    </row>
    <row r="152" spans="1:30" ht="21.75" customHeight="1">
      <c r="A152" s="25">
        <v>48</v>
      </c>
      <c r="B152" s="42" t="s">
        <v>128</v>
      </c>
      <c r="C152" s="29" t="s">
        <v>129</v>
      </c>
      <c r="D152" s="30" t="s">
        <v>311</v>
      </c>
      <c r="E152" s="31">
        <f>F153</f>
        <v>31492.492999999999</v>
      </c>
      <c r="F152" s="32">
        <f>F153+F154</f>
        <v>38255.493000000002</v>
      </c>
      <c r="G152" s="32">
        <f>G153+G154</f>
        <v>12669.475</v>
      </c>
      <c r="H152" s="32">
        <f>H153+H154</f>
        <v>12887.134</v>
      </c>
      <c r="I152" s="33">
        <f t="shared" si="326"/>
        <v>18145.514999999999</v>
      </c>
      <c r="J152" s="32">
        <f t="shared" ref="J152:M152" si="331">J153+J154</f>
        <v>217.65899999999999</v>
      </c>
      <c r="K152" s="32">
        <f t="shared" si="331"/>
        <v>2172</v>
      </c>
      <c r="L152" s="32">
        <f t="shared" si="331"/>
        <v>515.61599999999999</v>
      </c>
      <c r="M152" s="32">
        <f t="shared" si="331"/>
        <v>4027.364</v>
      </c>
      <c r="N152" s="95">
        <v>5430.5349999999999</v>
      </c>
      <c r="O152" s="95">
        <v>6000</v>
      </c>
      <c r="P152" s="95">
        <v>7222.8440000000001</v>
      </c>
      <c r="Q152" s="95">
        <v>0</v>
      </c>
      <c r="R152" s="95">
        <v>0</v>
      </c>
      <c r="S152" s="95">
        <v>0</v>
      </c>
      <c r="T152" s="32">
        <v>0</v>
      </c>
      <c r="U152" s="32">
        <v>0</v>
      </c>
      <c r="V152" s="32">
        <v>0</v>
      </c>
      <c r="W152" s="32">
        <v>0</v>
      </c>
      <c r="X152" s="32">
        <v>0</v>
      </c>
      <c r="Y152" s="32">
        <v>0</v>
      </c>
      <c r="Z152" s="32">
        <v>0</v>
      </c>
      <c r="AA152" s="32">
        <v>0</v>
      </c>
      <c r="AB152" s="32">
        <v>0</v>
      </c>
      <c r="AC152" s="32">
        <v>0</v>
      </c>
      <c r="AD152" s="32">
        <f t="shared" si="319"/>
        <v>7222.8440000000001</v>
      </c>
    </row>
    <row r="153" spans="1:30" ht="17.25" customHeight="1">
      <c r="A153" s="45"/>
      <c r="B153" s="13" t="s">
        <v>30</v>
      </c>
      <c r="C153" s="35"/>
      <c r="D153" s="36"/>
      <c r="E153" s="37"/>
      <c r="F153" s="38">
        <f>H153+I153+AD153</f>
        <v>31492.492999999999</v>
      </c>
      <c r="G153" s="39">
        <v>12168.475</v>
      </c>
      <c r="H153" s="38">
        <v>12386.134</v>
      </c>
      <c r="I153" s="38">
        <f t="shared" si="326"/>
        <v>11883.514999999999</v>
      </c>
      <c r="J153" s="38">
        <v>217.65899999999999</v>
      </c>
      <c r="K153" s="38">
        <v>722</v>
      </c>
      <c r="L153" s="38">
        <v>515.61599999999999</v>
      </c>
      <c r="M153" s="38">
        <v>1727.364</v>
      </c>
      <c r="N153" s="93">
        <v>2918.5349999999999</v>
      </c>
      <c r="O153" s="94">
        <v>6000</v>
      </c>
      <c r="P153" s="94">
        <v>7222.8440000000001</v>
      </c>
      <c r="Q153" s="94">
        <v>0</v>
      </c>
      <c r="R153" s="94">
        <v>0</v>
      </c>
      <c r="S153" s="94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32">
        <f t="shared" si="319"/>
        <v>7222.8440000000001</v>
      </c>
    </row>
    <row r="154" spans="1:30" ht="17.25" customHeight="1">
      <c r="A154" s="45"/>
      <c r="B154" s="13" t="s">
        <v>130</v>
      </c>
      <c r="C154" s="35"/>
      <c r="D154" s="36"/>
      <c r="E154" s="37"/>
      <c r="F154" s="38">
        <f>H154+I154+AD154</f>
        <v>6763</v>
      </c>
      <c r="G154" s="39">
        <v>501</v>
      </c>
      <c r="H154" s="38">
        <v>501</v>
      </c>
      <c r="I154" s="38">
        <f t="shared" si="326"/>
        <v>6262</v>
      </c>
      <c r="J154" s="39">
        <v>0</v>
      </c>
      <c r="K154" s="39">
        <v>1450</v>
      </c>
      <c r="L154" s="39">
        <v>0</v>
      </c>
      <c r="M154" s="39">
        <v>2300</v>
      </c>
      <c r="N154" s="103">
        <v>2512</v>
      </c>
      <c r="O154" s="104">
        <v>0</v>
      </c>
      <c r="P154" s="104">
        <v>0</v>
      </c>
      <c r="Q154" s="104">
        <v>0</v>
      </c>
      <c r="R154" s="94">
        <v>0</v>
      </c>
      <c r="S154" s="104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Y154" s="39">
        <v>0</v>
      </c>
      <c r="Z154" s="39">
        <v>0</v>
      </c>
      <c r="AA154" s="39">
        <v>0</v>
      </c>
      <c r="AB154" s="39">
        <v>0</v>
      </c>
      <c r="AC154" s="39">
        <v>0</v>
      </c>
      <c r="AD154" s="32">
        <f t="shared" si="319"/>
        <v>0</v>
      </c>
    </row>
    <row r="155" spans="1:30" ht="21.75" customHeight="1">
      <c r="A155" s="58">
        <v>49</v>
      </c>
      <c r="B155" s="42" t="s">
        <v>131</v>
      </c>
      <c r="C155" s="29" t="s">
        <v>132</v>
      </c>
      <c r="D155" s="54" t="s">
        <v>87</v>
      </c>
      <c r="E155" s="31">
        <f>F156</f>
        <v>600</v>
      </c>
      <c r="F155" s="32">
        <f>F156+F157</f>
        <v>4000</v>
      </c>
      <c r="G155" s="32">
        <f>G156+G157</f>
        <v>0</v>
      </c>
      <c r="H155" s="32">
        <f>H156+H157</f>
        <v>0</v>
      </c>
      <c r="I155" s="33">
        <f t="shared" si="326"/>
        <v>2000</v>
      </c>
      <c r="J155" s="32">
        <f t="shared" ref="J155:M155" si="332">J156+J157</f>
        <v>0</v>
      </c>
      <c r="K155" s="32">
        <f t="shared" si="332"/>
        <v>0</v>
      </c>
      <c r="L155" s="32">
        <f t="shared" si="332"/>
        <v>0</v>
      </c>
      <c r="M155" s="32">
        <f t="shared" si="332"/>
        <v>0</v>
      </c>
      <c r="N155" s="95">
        <v>0</v>
      </c>
      <c r="O155" s="95">
        <v>2000</v>
      </c>
      <c r="P155" s="95">
        <v>2000</v>
      </c>
      <c r="Q155" s="95">
        <v>0</v>
      </c>
      <c r="R155" s="95">
        <v>0</v>
      </c>
      <c r="S155" s="95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2">
        <v>0</v>
      </c>
      <c r="AB155" s="32">
        <v>0</v>
      </c>
      <c r="AC155" s="32">
        <v>0</v>
      </c>
      <c r="AD155" s="32">
        <f t="shared" si="319"/>
        <v>2000</v>
      </c>
    </row>
    <row r="156" spans="1:30" ht="17.25" customHeight="1">
      <c r="A156" s="45"/>
      <c r="B156" s="13" t="s">
        <v>30</v>
      </c>
      <c r="C156" s="35"/>
      <c r="D156" s="36"/>
      <c r="E156" s="37"/>
      <c r="F156" s="38">
        <f>H156+I156+AD156</f>
        <v>600</v>
      </c>
      <c r="G156" s="39">
        <v>0</v>
      </c>
      <c r="H156" s="38">
        <v>0</v>
      </c>
      <c r="I156" s="38">
        <f t="shared" si="326"/>
        <v>300</v>
      </c>
      <c r="J156" s="38">
        <v>0</v>
      </c>
      <c r="K156" s="38">
        <v>0</v>
      </c>
      <c r="L156" s="38">
        <v>0</v>
      </c>
      <c r="M156" s="16">
        <v>0</v>
      </c>
      <c r="N156" s="94">
        <v>0</v>
      </c>
      <c r="O156" s="94">
        <v>300</v>
      </c>
      <c r="P156" s="94">
        <v>300</v>
      </c>
      <c r="Q156" s="94">
        <v>0</v>
      </c>
      <c r="R156" s="94">
        <v>0</v>
      </c>
      <c r="S156" s="94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0</v>
      </c>
      <c r="AA156" s="38">
        <v>0</v>
      </c>
      <c r="AB156" s="38">
        <v>0</v>
      </c>
      <c r="AC156" s="38">
        <v>0</v>
      </c>
      <c r="AD156" s="32">
        <f t="shared" si="319"/>
        <v>300</v>
      </c>
    </row>
    <row r="157" spans="1:30" ht="17.25" customHeight="1">
      <c r="A157" s="45"/>
      <c r="B157" s="43" t="s">
        <v>38</v>
      </c>
      <c r="C157" s="35"/>
      <c r="D157" s="36"/>
      <c r="E157" s="37"/>
      <c r="F157" s="38">
        <f>H157+I157+AD157</f>
        <v>3400</v>
      </c>
      <c r="G157" s="39">
        <v>0</v>
      </c>
      <c r="H157" s="38">
        <v>0</v>
      </c>
      <c r="I157" s="38">
        <f t="shared" si="326"/>
        <v>1700</v>
      </c>
      <c r="J157" s="38">
        <v>0</v>
      </c>
      <c r="K157" s="38">
        <v>0</v>
      </c>
      <c r="L157" s="38">
        <v>0</v>
      </c>
      <c r="M157" s="10">
        <v>0</v>
      </c>
      <c r="N157" s="94">
        <v>0</v>
      </c>
      <c r="O157" s="94">
        <v>1700</v>
      </c>
      <c r="P157" s="94">
        <v>1700</v>
      </c>
      <c r="Q157" s="94">
        <v>0</v>
      </c>
      <c r="R157" s="94">
        <v>0</v>
      </c>
      <c r="S157" s="94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0</v>
      </c>
      <c r="Z157" s="38">
        <v>0</v>
      </c>
      <c r="AA157" s="38">
        <v>0</v>
      </c>
      <c r="AB157" s="38">
        <v>0</v>
      </c>
      <c r="AC157" s="38">
        <v>0</v>
      </c>
      <c r="AD157" s="32">
        <f t="shared" si="319"/>
        <v>1700</v>
      </c>
    </row>
    <row r="158" spans="1:30" ht="21.75" customHeight="1">
      <c r="A158" s="25">
        <v>50</v>
      </c>
      <c r="B158" s="63" t="s">
        <v>312</v>
      </c>
      <c r="C158" s="29" t="s">
        <v>134</v>
      </c>
      <c r="D158" s="54" t="s">
        <v>135</v>
      </c>
      <c r="E158" s="31">
        <f>F159</f>
        <v>188.88</v>
      </c>
      <c r="F158" s="32">
        <f>F159</f>
        <v>188.88</v>
      </c>
      <c r="G158" s="33">
        <f>G159</f>
        <v>0</v>
      </c>
      <c r="H158" s="33">
        <f>H159</f>
        <v>2.68</v>
      </c>
      <c r="I158" s="33">
        <f t="shared" si="326"/>
        <v>186.2</v>
      </c>
      <c r="J158" s="32">
        <f>J159</f>
        <v>2.68</v>
      </c>
      <c r="K158" s="32">
        <f t="shared" ref="K158:Q158" si="333">K159</f>
        <v>0</v>
      </c>
      <c r="L158" s="32">
        <f t="shared" si="333"/>
        <v>0</v>
      </c>
      <c r="M158" s="32">
        <f t="shared" si="333"/>
        <v>33</v>
      </c>
      <c r="N158" s="95">
        <f t="shared" si="333"/>
        <v>153.19999999999999</v>
      </c>
      <c r="O158" s="95">
        <f t="shared" si="333"/>
        <v>0</v>
      </c>
      <c r="P158" s="96">
        <f t="shared" si="333"/>
        <v>0</v>
      </c>
      <c r="Q158" s="95">
        <f t="shared" si="333"/>
        <v>0</v>
      </c>
      <c r="R158" s="95">
        <v>0</v>
      </c>
      <c r="S158" s="95">
        <f t="shared" ref="S158:AC158" si="334">S159</f>
        <v>0</v>
      </c>
      <c r="T158" s="32">
        <f t="shared" si="334"/>
        <v>0</v>
      </c>
      <c r="U158" s="32">
        <f t="shared" si="334"/>
        <v>0</v>
      </c>
      <c r="V158" s="32">
        <f t="shared" si="334"/>
        <v>0</v>
      </c>
      <c r="W158" s="32">
        <f t="shared" si="334"/>
        <v>0</v>
      </c>
      <c r="X158" s="32">
        <f t="shared" si="334"/>
        <v>0</v>
      </c>
      <c r="Y158" s="32">
        <f t="shared" si="334"/>
        <v>0</v>
      </c>
      <c r="Z158" s="32">
        <f t="shared" si="334"/>
        <v>0</v>
      </c>
      <c r="AA158" s="32">
        <f t="shared" si="334"/>
        <v>0</v>
      </c>
      <c r="AB158" s="32">
        <f t="shared" si="334"/>
        <v>0</v>
      </c>
      <c r="AC158" s="32">
        <f t="shared" si="334"/>
        <v>0</v>
      </c>
      <c r="AD158" s="32">
        <f t="shared" si="319"/>
        <v>0</v>
      </c>
    </row>
    <row r="159" spans="1:30" ht="17.25" customHeight="1">
      <c r="A159" s="45"/>
      <c r="B159" s="13" t="s">
        <v>30</v>
      </c>
      <c r="C159" s="35"/>
      <c r="D159" s="36"/>
      <c r="E159" s="37"/>
      <c r="F159" s="38">
        <f>H159+I159+AD159</f>
        <v>188.88</v>
      </c>
      <c r="G159" s="39">
        <v>0</v>
      </c>
      <c r="H159" s="38">
        <v>2.68</v>
      </c>
      <c r="I159" s="38">
        <f t="shared" si="326"/>
        <v>186.2</v>
      </c>
      <c r="J159" s="38">
        <v>2.68</v>
      </c>
      <c r="K159" s="38">
        <v>0</v>
      </c>
      <c r="L159" s="38">
        <v>0</v>
      </c>
      <c r="M159" s="38">
        <v>33</v>
      </c>
      <c r="N159" s="94">
        <v>153.19999999999999</v>
      </c>
      <c r="O159" s="119">
        <v>0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0</v>
      </c>
      <c r="Y159" s="38">
        <v>0</v>
      </c>
      <c r="Z159" s="38">
        <v>0</v>
      </c>
      <c r="AA159" s="38">
        <v>0</v>
      </c>
      <c r="AB159" s="38">
        <v>0</v>
      </c>
      <c r="AC159" s="38">
        <v>0</v>
      </c>
      <c r="AD159" s="32">
        <f t="shared" si="319"/>
        <v>0</v>
      </c>
    </row>
    <row r="160" spans="1:30" ht="21.75" customHeight="1">
      <c r="A160" s="61" t="s">
        <v>136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102"/>
      <c r="O160" s="102"/>
      <c r="P160" s="102"/>
      <c r="Q160" s="102"/>
      <c r="R160" s="102"/>
      <c r="S160" s="102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32">
        <f t="shared" si="319"/>
        <v>0</v>
      </c>
    </row>
    <row r="161" spans="1:30" ht="21.75" customHeight="1">
      <c r="A161" s="25">
        <v>51</v>
      </c>
      <c r="B161" s="28" t="s">
        <v>137</v>
      </c>
      <c r="C161" s="29" t="s">
        <v>72</v>
      </c>
      <c r="D161" s="30" t="s">
        <v>138</v>
      </c>
      <c r="E161" s="31">
        <f>F162</f>
        <v>126171.67599999999</v>
      </c>
      <c r="F161" s="32">
        <v>115529.497</v>
      </c>
      <c r="G161" s="33">
        <v>65474.377</v>
      </c>
      <c r="H161" s="33">
        <v>69651.37</v>
      </c>
      <c r="I161" s="33">
        <f>SUM(K161:O161)</f>
        <v>35520.305999999997</v>
      </c>
      <c r="J161" s="32">
        <f>J162</f>
        <v>4176.9930000000004</v>
      </c>
      <c r="K161" s="32">
        <f t="shared" ref="K161:Q161" si="335">K162</f>
        <v>8891.6869999999999</v>
      </c>
      <c r="L161" s="32">
        <f t="shared" si="335"/>
        <v>6899.2359999999999</v>
      </c>
      <c r="M161" s="32">
        <f t="shared" si="335"/>
        <v>7687.2039999999997</v>
      </c>
      <c r="N161" s="95">
        <f t="shared" si="335"/>
        <v>9172.1790000000001</v>
      </c>
      <c r="O161" s="95">
        <f t="shared" si="335"/>
        <v>2870</v>
      </c>
      <c r="P161" s="95">
        <f t="shared" si="335"/>
        <v>3000</v>
      </c>
      <c r="Q161" s="95">
        <f t="shared" si="335"/>
        <v>6000</v>
      </c>
      <c r="R161" s="95">
        <v>12000</v>
      </c>
      <c r="S161" s="95">
        <f t="shared" ref="S161:AC161" si="336">S162</f>
        <v>6000</v>
      </c>
      <c r="T161" s="32">
        <f t="shared" si="336"/>
        <v>6000</v>
      </c>
      <c r="U161" s="32">
        <f t="shared" si="336"/>
        <v>0</v>
      </c>
      <c r="V161" s="32">
        <f t="shared" si="336"/>
        <v>0</v>
      </c>
      <c r="W161" s="32">
        <f t="shared" si="336"/>
        <v>0</v>
      </c>
      <c r="X161" s="32">
        <f t="shared" si="336"/>
        <v>0</v>
      </c>
      <c r="Y161" s="32">
        <f t="shared" si="336"/>
        <v>0</v>
      </c>
      <c r="Z161" s="32">
        <f t="shared" si="336"/>
        <v>0</v>
      </c>
      <c r="AA161" s="32">
        <f t="shared" si="336"/>
        <v>0</v>
      </c>
      <c r="AB161" s="32">
        <f t="shared" si="336"/>
        <v>0</v>
      </c>
      <c r="AC161" s="32">
        <f t="shared" si="336"/>
        <v>0</v>
      </c>
      <c r="AD161" s="32">
        <f t="shared" si="319"/>
        <v>21000</v>
      </c>
    </row>
    <row r="162" spans="1:30" ht="17.25" customHeight="1">
      <c r="A162" s="45"/>
      <c r="B162" s="13" t="s">
        <v>30</v>
      </c>
      <c r="C162" s="35"/>
      <c r="D162" s="36"/>
      <c r="E162" s="37"/>
      <c r="F162" s="38">
        <f>H162+I162+AD162</f>
        <v>126171.67599999999</v>
      </c>
      <c r="G162" s="39">
        <v>65474.377</v>
      </c>
      <c r="H162" s="38">
        <v>69651.37</v>
      </c>
      <c r="I162" s="38">
        <f>SUM(K162:O162)</f>
        <v>35520.305999999997</v>
      </c>
      <c r="J162" s="38">
        <v>4176.9930000000004</v>
      </c>
      <c r="K162" s="38">
        <v>8891.6869999999999</v>
      </c>
      <c r="L162" s="38">
        <v>6899.2359999999999</v>
      </c>
      <c r="M162" s="40">
        <f>8687.204-1000</f>
        <v>7687.2039999999997</v>
      </c>
      <c r="N162" s="94">
        <v>9172.1790000000001</v>
      </c>
      <c r="O162" s="94">
        <v>2870</v>
      </c>
      <c r="P162" s="94">
        <v>3000</v>
      </c>
      <c r="Q162" s="94">
        <v>6000</v>
      </c>
      <c r="R162" s="94">
        <v>12000</v>
      </c>
      <c r="S162" s="94">
        <v>6000</v>
      </c>
      <c r="T162" s="38">
        <v>6000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32">
        <f t="shared" si="319"/>
        <v>21000</v>
      </c>
    </row>
    <row r="163" spans="1:30" ht="21.75" customHeight="1">
      <c r="A163" s="25">
        <v>52</v>
      </c>
      <c r="B163" s="28" t="s">
        <v>139</v>
      </c>
      <c r="C163" s="29" t="s">
        <v>72</v>
      </c>
      <c r="D163" s="30" t="s">
        <v>42</v>
      </c>
      <c r="E163" s="31">
        <f>F164</f>
        <v>14246.789000000001</v>
      </c>
      <c r="F163" s="32">
        <f>F164+F165+F166</f>
        <v>14786.789000000001</v>
      </c>
      <c r="G163" s="33">
        <v>4414.7889999999998</v>
      </c>
      <c r="H163" s="33">
        <v>5886.7889999999998</v>
      </c>
      <c r="I163" s="33">
        <f t="shared" ref="I163:I176" si="337">SUM(K163:O163)</f>
        <v>7500</v>
      </c>
      <c r="J163" s="32">
        <f>J164+J165+J166</f>
        <v>1472</v>
      </c>
      <c r="K163" s="32">
        <f t="shared" ref="K163:M163" si="338">K164+K165+K166</f>
        <v>1950</v>
      </c>
      <c r="L163" s="32">
        <f t="shared" si="338"/>
        <v>1078</v>
      </c>
      <c r="M163" s="32">
        <f t="shared" si="338"/>
        <v>1272</v>
      </c>
      <c r="N163" s="95">
        <f>N164+N165+N166</f>
        <v>1772.5119999999999</v>
      </c>
      <c r="O163" s="95">
        <f t="shared" ref="O163:Q163" si="339">O164+O165+O166</f>
        <v>1427.4880000000001</v>
      </c>
      <c r="P163" s="95">
        <f t="shared" si="339"/>
        <v>1400</v>
      </c>
      <c r="Q163" s="95">
        <f t="shared" si="339"/>
        <v>0</v>
      </c>
      <c r="R163" s="95">
        <v>0</v>
      </c>
      <c r="S163" s="95">
        <v>0</v>
      </c>
      <c r="T163" s="32">
        <v>0</v>
      </c>
      <c r="U163" s="32">
        <v>0</v>
      </c>
      <c r="V163" s="32">
        <v>0</v>
      </c>
      <c r="W163" s="32">
        <v>0</v>
      </c>
      <c r="X163" s="32">
        <v>0</v>
      </c>
      <c r="Y163" s="32">
        <v>0</v>
      </c>
      <c r="Z163" s="32">
        <v>0</v>
      </c>
      <c r="AA163" s="32">
        <v>0</v>
      </c>
      <c r="AB163" s="32">
        <v>0</v>
      </c>
      <c r="AC163" s="32">
        <v>0</v>
      </c>
      <c r="AD163" s="32">
        <f t="shared" si="319"/>
        <v>1400</v>
      </c>
    </row>
    <row r="164" spans="1:30" ht="17.25" customHeight="1">
      <c r="A164" s="45"/>
      <c r="B164" s="13" t="s">
        <v>30</v>
      </c>
      <c r="C164" s="35"/>
      <c r="D164" s="36"/>
      <c r="E164" s="37"/>
      <c r="F164" s="38">
        <f>H164+I164+AD164</f>
        <v>14246.789000000001</v>
      </c>
      <c r="G164" s="39">
        <v>4414.7889999999998</v>
      </c>
      <c r="H164" s="38">
        <v>5886.7889999999998</v>
      </c>
      <c r="I164" s="38">
        <f t="shared" si="337"/>
        <v>6960</v>
      </c>
      <c r="J164" s="38">
        <v>1472</v>
      </c>
      <c r="K164" s="38">
        <v>1770</v>
      </c>
      <c r="L164" s="38">
        <v>898</v>
      </c>
      <c r="M164" s="38">
        <f>1792-700</f>
        <v>1092</v>
      </c>
      <c r="N164" s="93">
        <v>1772.5119999999999</v>
      </c>
      <c r="O164" s="93">
        <v>1427.4880000000001</v>
      </c>
      <c r="P164" s="94">
        <v>1400</v>
      </c>
      <c r="Q164" s="94">
        <v>0</v>
      </c>
      <c r="R164" s="94">
        <v>0</v>
      </c>
      <c r="S164" s="94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0</v>
      </c>
      <c r="AD164" s="32">
        <f t="shared" si="319"/>
        <v>1400</v>
      </c>
    </row>
    <row r="165" spans="1:30" ht="17.25" customHeight="1">
      <c r="A165" s="45"/>
      <c r="B165" s="121" t="s">
        <v>38</v>
      </c>
      <c r="C165" s="35"/>
      <c r="D165" s="36"/>
      <c r="E165" s="37"/>
      <c r="F165" s="38">
        <f>H165+I165+AD165</f>
        <v>0</v>
      </c>
      <c r="G165" s="39">
        <v>0</v>
      </c>
      <c r="H165" s="38">
        <v>0</v>
      </c>
      <c r="I165" s="38">
        <f>SUM(K165:O165)</f>
        <v>0</v>
      </c>
      <c r="J165" s="38">
        <v>0</v>
      </c>
      <c r="K165" s="38">
        <v>0</v>
      </c>
      <c r="L165" s="38">
        <v>0</v>
      </c>
      <c r="M165" s="38">
        <v>0</v>
      </c>
      <c r="N165" s="94">
        <v>0</v>
      </c>
      <c r="O165" s="94">
        <v>0</v>
      </c>
      <c r="P165" s="94">
        <v>0</v>
      </c>
      <c r="Q165" s="94">
        <v>0</v>
      </c>
      <c r="R165" s="94">
        <v>0</v>
      </c>
      <c r="S165" s="94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2">
        <f t="shared" si="319"/>
        <v>0</v>
      </c>
    </row>
    <row r="166" spans="1:30" ht="17.25" customHeight="1">
      <c r="A166" s="45"/>
      <c r="B166" s="13" t="s">
        <v>140</v>
      </c>
      <c r="C166" s="35"/>
      <c r="D166" s="36"/>
      <c r="E166" s="37"/>
      <c r="F166" s="38">
        <f>H166+I166+AD166</f>
        <v>540</v>
      </c>
      <c r="G166" s="39">
        <v>0</v>
      </c>
      <c r="H166" s="38">
        <v>0</v>
      </c>
      <c r="I166" s="38">
        <f>SUM(K166:O166)</f>
        <v>540</v>
      </c>
      <c r="J166" s="38">
        <v>0</v>
      </c>
      <c r="K166" s="38">
        <v>180</v>
      </c>
      <c r="L166" s="38">
        <v>180</v>
      </c>
      <c r="M166" s="38">
        <v>180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2">
        <f t="shared" si="319"/>
        <v>0</v>
      </c>
    </row>
    <row r="167" spans="1:30" ht="21.75" customHeight="1">
      <c r="A167" s="25">
        <v>53</v>
      </c>
      <c r="B167" s="28" t="s">
        <v>142</v>
      </c>
      <c r="C167" s="29" t="s">
        <v>267</v>
      </c>
      <c r="D167" s="54" t="s">
        <v>83</v>
      </c>
      <c r="E167" s="31">
        <f>F168</f>
        <v>186.602</v>
      </c>
      <c r="F167" s="32">
        <f>F168+F169</f>
        <v>980.32100000000003</v>
      </c>
      <c r="G167" s="32">
        <f>G168+G169</f>
        <v>0</v>
      </c>
      <c r="H167" s="32">
        <f>H168+H169</f>
        <v>0</v>
      </c>
      <c r="I167" s="33">
        <f t="shared" si="337"/>
        <v>980.32100000000003</v>
      </c>
      <c r="J167" s="32">
        <f t="shared" ref="J167:M167" si="340">J168+J169</f>
        <v>0</v>
      </c>
      <c r="K167" s="32">
        <f t="shared" si="340"/>
        <v>0</v>
      </c>
      <c r="L167" s="32">
        <f t="shared" si="340"/>
        <v>0</v>
      </c>
      <c r="M167" s="32">
        <f t="shared" si="340"/>
        <v>980.32100000000003</v>
      </c>
      <c r="N167" s="95">
        <v>0</v>
      </c>
      <c r="O167" s="95">
        <v>0</v>
      </c>
      <c r="P167" s="95">
        <v>0</v>
      </c>
      <c r="Q167" s="95">
        <v>0</v>
      </c>
      <c r="R167" s="95">
        <v>0</v>
      </c>
      <c r="S167" s="95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f t="shared" si="319"/>
        <v>0</v>
      </c>
    </row>
    <row r="168" spans="1:30" ht="17.25" customHeight="1">
      <c r="A168" s="34"/>
      <c r="B168" s="13" t="s">
        <v>30</v>
      </c>
      <c r="C168" s="38"/>
      <c r="D168" s="38"/>
      <c r="E168" s="38"/>
      <c r="F168" s="38">
        <f>H168+I168+AD168</f>
        <v>186.602</v>
      </c>
      <c r="G168" s="38">
        <v>0</v>
      </c>
      <c r="H168" s="38">
        <v>0</v>
      </c>
      <c r="I168" s="38">
        <f t="shared" si="337"/>
        <v>186.602</v>
      </c>
      <c r="J168" s="16">
        <v>0</v>
      </c>
      <c r="K168" s="16">
        <v>0</v>
      </c>
      <c r="L168" s="49">
        <v>0</v>
      </c>
      <c r="M168" s="17">
        <v>186.602</v>
      </c>
      <c r="N168" s="98">
        <v>0</v>
      </c>
      <c r="O168" s="98">
        <v>0</v>
      </c>
      <c r="P168" s="99">
        <v>0</v>
      </c>
      <c r="Q168" s="99">
        <v>0</v>
      </c>
      <c r="R168" s="94">
        <v>0</v>
      </c>
      <c r="S168" s="99">
        <v>0</v>
      </c>
      <c r="T168" s="49">
        <v>0</v>
      </c>
      <c r="U168" s="49">
        <v>0</v>
      </c>
      <c r="V168" s="49">
        <v>0</v>
      </c>
      <c r="W168" s="49">
        <v>0</v>
      </c>
      <c r="X168" s="49">
        <v>0</v>
      </c>
      <c r="Y168" s="49">
        <v>0</v>
      </c>
      <c r="Z168" s="49">
        <v>0</v>
      </c>
      <c r="AA168" s="49">
        <v>0</v>
      </c>
      <c r="AB168" s="49">
        <v>0</v>
      </c>
      <c r="AC168" s="49">
        <v>0</v>
      </c>
      <c r="AD168" s="32">
        <f t="shared" si="319"/>
        <v>0</v>
      </c>
    </row>
    <row r="169" spans="1:30" ht="17.25" customHeight="1">
      <c r="A169" s="34"/>
      <c r="B169" s="43" t="s">
        <v>38</v>
      </c>
      <c r="C169" s="38"/>
      <c r="D169" s="38"/>
      <c r="E169" s="38"/>
      <c r="F169" s="38">
        <f>H169+I169+AD169</f>
        <v>793.71900000000005</v>
      </c>
      <c r="G169" s="38">
        <v>0</v>
      </c>
      <c r="H169" s="38">
        <v>0</v>
      </c>
      <c r="I169" s="38">
        <f t="shared" si="337"/>
        <v>793.71900000000005</v>
      </c>
      <c r="J169" s="16">
        <v>0</v>
      </c>
      <c r="K169" s="16">
        <v>0</v>
      </c>
      <c r="L169" s="49">
        <v>0</v>
      </c>
      <c r="M169" s="17">
        <v>793.71900000000005</v>
      </c>
      <c r="N169" s="98">
        <v>0</v>
      </c>
      <c r="O169" s="98">
        <v>0</v>
      </c>
      <c r="P169" s="99">
        <v>0</v>
      </c>
      <c r="Q169" s="99">
        <v>0</v>
      </c>
      <c r="R169" s="94">
        <v>0</v>
      </c>
      <c r="S169" s="99">
        <v>0</v>
      </c>
      <c r="T169" s="49">
        <v>0</v>
      </c>
      <c r="U169" s="49">
        <v>0</v>
      </c>
      <c r="V169" s="49">
        <v>0</v>
      </c>
      <c r="W169" s="49">
        <v>0</v>
      </c>
      <c r="X169" s="49">
        <v>0</v>
      </c>
      <c r="Y169" s="49">
        <v>0</v>
      </c>
      <c r="Z169" s="49">
        <v>0</v>
      </c>
      <c r="AA169" s="49">
        <v>0</v>
      </c>
      <c r="AB169" s="49">
        <v>0</v>
      </c>
      <c r="AC169" s="49">
        <v>0</v>
      </c>
      <c r="AD169" s="32">
        <f t="shared" si="319"/>
        <v>0</v>
      </c>
    </row>
    <row r="170" spans="1:30" ht="36" customHeight="1">
      <c r="A170" s="25">
        <v>54</v>
      </c>
      <c r="B170" s="28" t="s">
        <v>143</v>
      </c>
      <c r="C170" s="29" t="s">
        <v>265</v>
      </c>
      <c r="D170" s="54" t="s">
        <v>81</v>
      </c>
      <c r="E170" s="31">
        <f>F171</f>
        <v>13201.001999999999</v>
      </c>
      <c r="F170" s="32">
        <f>F171+F172</f>
        <v>24502.416999999998</v>
      </c>
      <c r="G170" s="32">
        <f>G171+G172</f>
        <v>0</v>
      </c>
      <c r="H170" s="32">
        <f>H171+H172</f>
        <v>0</v>
      </c>
      <c r="I170" s="33">
        <f t="shared" si="337"/>
        <v>24502.416999999998</v>
      </c>
      <c r="J170" s="32">
        <f t="shared" ref="J170:M170" si="341">J171+J172</f>
        <v>0</v>
      </c>
      <c r="K170" s="32">
        <f t="shared" si="341"/>
        <v>0</v>
      </c>
      <c r="L170" s="32">
        <f t="shared" si="341"/>
        <v>329</v>
      </c>
      <c r="M170" s="32">
        <f t="shared" si="341"/>
        <v>1333.374</v>
      </c>
      <c r="N170" s="95">
        <f>N171+N172</f>
        <v>20382.625999999997</v>
      </c>
      <c r="O170" s="95">
        <f t="shared" ref="O170:Q170" si="342">O171+O172</f>
        <v>2457.4169999999999</v>
      </c>
      <c r="P170" s="95">
        <f t="shared" si="342"/>
        <v>0</v>
      </c>
      <c r="Q170" s="95">
        <f t="shared" si="342"/>
        <v>0</v>
      </c>
      <c r="R170" s="95">
        <v>0</v>
      </c>
      <c r="S170" s="95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2">
        <v>0</v>
      </c>
      <c r="AB170" s="32">
        <v>0</v>
      </c>
      <c r="AC170" s="32">
        <v>0</v>
      </c>
      <c r="AD170" s="32">
        <f t="shared" si="319"/>
        <v>0</v>
      </c>
    </row>
    <row r="171" spans="1:30" ht="17.25" customHeight="1">
      <c r="A171" s="34"/>
      <c r="B171" s="13" t="s">
        <v>30</v>
      </c>
      <c r="C171" s="38"/>
      <c r="D171" s="38"/>
      <c r="E171" s="38"/>
      <c r="F171" s="38">
        <f>H171+I171+AD171</f>
        <v>13201.001999999999</v>
      </c>
      <c r="G171" s="38">
        <v>0</v>
      </c>
      <c r="H171" s="38">
        <v>0</v>
      </c>
      <c r="I171" s="38">
        <f t="shared" si="337"/>
        <v>13201.001999999999</v>
      </c>
      <c r="J171" s="16">
        <v>0</v>
      </c>
      <c r="K171" s="16">
        <v>0</v>
      </c>
      <c r="L171" s="49">
        <v>329</v>
      </c>
      <c r="M171" s="17">
        <f>5.904+14.834+196.896</f>
        <v>217.63399999999999</v>
      </c>
      <c r="N171" s="94">
        <f>10196.951</f>
        <v>10196.950999999999</v>
      </c>
      <c r="O171" s="93">
        <v>2457.4169999999999</v>
      </c>
      <c r="P171" s="99">
        <v>0</v>
      </c>
      <c r="Q171" s="99">
        <v>0</v>
      </c>
      <c r="R171" s="94">
        <v>0</v>
      </c>
      <c r="S171" s="99">
        <v>0</v>
      </c>
      <c r="T171" s="49">
        <v>0</v>
      </c>
      <c r="U171" s="49">
        <v>0</v>
      </c>
      <c r="V171" s="49">
        <v>0</v>
      </c>
      <c r="W171" s="49">
        <v>0</v>
      </c>
      <c r="X171" s="49">
        <v>0</v>
      </c>
      <c r="Y171" s="49">
        <v>0</v>
      </c>
      <c r="Z171" s="49">
        <v>0</v>
      </c>
      <c r="AA171" s="49">
        <v>0</v>
      </c>
      <c r="AB171" s="49">
        <v>0</v>
      </c>
      <c r="AC171" s="49">
        <v>0</v>
      </c>
      <c r="AD171" s="32">
        <f t="shared" si="319"/>
        <v>0</v>
      </c>
    </row>
    <row r="172" spans="1:30" ht="17.25" customHeight="1">
      <c r="A172" s="34"/>
      <c r="B172" s="43" t="s">
        <v>38</v>
      </c>
      <c r="C172" s="38"/>
      <c r="D172" s="38"/>
      <c r="E172" s="38"/>
      <c r="F172" s="38">
        <f>H172+I172+AD172</f>
        <v>11301.414999999999</v>
      </c>
      <c r="G172" s="38">
        <v>0</v>
      </c>
      <c r="H172" s="38">
        <v>0</v>
      </c>
      <c r="I172" s="38">
        <f t="shared" si="337"/>
        <v>11301.414999999999</v>
      </c>
      <c r="J172" s="16">
        <v>0</v>
      </c>
      <c r="K172" s="16">
        <v>0</v>
      </c>
      <c r="L172" s="49">
        <v>0</v>
      </c>
      <c r="M172" s="17">
        <v>1115.74</v>
      </c>
      <c r="N172" s="94">
        <v>10185.674999999999</v>
      </c>
      <c r="O172" s="98">
        <v>0</v>
      </c>
      <c r="P172" s="99">
        <v>0</v>
      </c>
      <c r="Q172" s="99">
        <v>0</v>
      </c>
      <c r="R172" s="94">
        <v>0</v>
      </c>
      <c r="S172" s="99">
        <v>0</v>
      </c>
      <c r="T172" s="49">
        <v>0</v>
      </c>
      <c r="U172" s="49">
        <v>0</v>
      </c>
      <c r="V172" s="49">
        <v>0</v>
      </c>
      <c r="W172" s="49">
        <v>0</v>
      </c>
      <c r="X172" s="49">
        <v>0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  <c r="AD172" s="32">
        <f t="shared" si="319"/>
        <v>0</v>
      </c>
    </row>
    <row r="173" spans="1:30" ht="21.75" customHeight="1">
      <c r="A173" s="62">
        <v>55</v>
      </c>
      <c r="B173" s="63" t="s">
        <v>257</v>
      </c>
      <c r="C173" s="64" t="s">
        <v>141</v>
      </c>
      <c r="D173" s="65" t="s">
        <v>83</v>
      </c>
      <c r="E173" s="66"/>
      <c r="F173" s="66">
        <f>F174</f>
        <v>1301.5999999999999</v>
      </c>
      <c r="G173" s="66"/>
      <c r="H173" s="66"/>
      <c r="I173" s="33">
        <f t="shared" ref="I173:I174" si="343">SUM(K173:O173)</f>
        <v>1301.5999999999999</v>
      </c>
      <c r="J173" s="67"/>
      <c r="K173" s="67"/>
      <c r="L173" s="68"/>
      <c r="M173" s="59">
        <f>M174</f>
        <v>577.79999999999995</v>
      </c>
      <c r="N173" s="105">
        <f t="shared" ref="N173:Q173" si="344">N174</f>
        <v>723.8</v>
      </c>
      <c r="O173" s="106">
        <f t="shared" si="344"/>
        <v>0</v>
      </c>
      <c r="P173" s="106">
        <f t="shared" si="344"/>
        <v>0</v>
      </c>
      <c r="Q173" s="106">
        <f t="shared" si="344"/>
        <v>0</v>
      </c>
      <c r="R173" s="107"/>
      <c r="S173" s="106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32"/>
    </row>
    <row r="174" spans="1:30" ht="17.25" customHeight="1">
      <c r="A174" s="34"/>
      <c r="B174" s="13" t="s">
        <v>30</v>
      </c>
      <c r="C174" s="38"/>
      <c r="D174" s="38"/>
      <c r="E174" s="38"/>
      <c r="F174" s="38">
        <f>H174+I174+AD174</f>
        <v>1301.5999999999999</v>
      </c>
      <c r="G174" s="38"/>
      <c r="H174" s="38"/>
      <c r="I174" s="38">
        <f t="shared" si="343"/>
        <v>1301.5999999999999</v>
      </c>
      <c r="J174" s="16"/>
      <c r="K174" s="16"/>
      <c r="L174" s="49"/>
      <c r="M174" s="17">
        <v>577.79999999999995</v>
      </c>
      <c r="N174" s="94">
        <v>723.8</v>
      </c>
      <c r="O174" s="98"/>
      <c r="P174" s="99"/>
      <c r="Q174" s="99"/>
      <c r="R174" s="94"/>
      <c r="S174" s="9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32"/>
    </row>
    <row r="175" spans="1:30" ht="21.75" customHeight="1">
      <c r="A175" s="62">
        <v>56</v>
      </c>
      <c r="B175" s="63" t="s">
        <v>95</v>
      </c>
      <c r="C175" s="64" t="s">
        <v>283</v>
      </c>
      <c r="D175" s="69">
        <v>2018</v>
      </c>
      <c r="E175" s="66"/>
      <c r="F175" s="66">
        <f>F176</f>
        <v>364</v>
      </c>
      <c r="G175" s="66"/>
      <c r="H175" s="66"/>
      <c r="I175" s="33">
        <f t="shared" si="337"/>
        <v>364</v>
      </c>
      <c r="J175" s="67"/>
      <c r="K175" s="67"/>
      <c r="L175" s="68"/>
      <c r="M175" s="59">
        <f>M176</f>
        <v>0</v>
      </c>
      <c r="N175" s="105">
        <f t="shared" ref="N175:Q175" si="345">N176</f>
        <v>364</v>
      </c>
      <c r="O175" s="106">
        <f t="shared" si="345"/>
        <v>0</v>
      </c>
      <c r="P175" s="106">
        <f t="shared" si="345"/>
        <v>0</v>
      </c>
      <c r="Q175" s="106">
        <f t="shared" si="345"/>
        <v>0</v>
      </c>
      <c r="R175" s="107"/>
      <c r="S175" s="106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32"/>
    </row>
    <row r="176" spans="1:30" ht="17.25" customHeight="1">
      <c r="A176" s="34"/>
      <c r="B176" s="13" t="s">
        <v>30</v>
      </c>
      <c r="C176" s="38"/>
      <c r="D176" s="38"/>
      <c r="E176" s="38"/>
      <c r="F176" s="38">
        <f>H176+I176+AD176</f>
        <v>364</v>
      </c>
      <c r="G176" s="38"/>
      <c r="H176" s="38"/>
      <c r="I176" s="38">
        <f t="shared" si="337"/>
        <v>364</v>
      </c>
      <c r="J176" s="16"/>
      <c r="K176" s="16"/>
      <c r="L176" s="49"/>
      <c r="M176" s="17">
        <v>0</v>
      </c>
      <c r="N176" s="98">
        <v>364</v>
      </c>
      <c r="O176" s="98"/>
      <c r="P176" s="99"/>
      <c r="Q176" s="99"/>
      <c r="R176" s="94"/>
      <c r="S176" s="9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32"/>
    </row>
    <row r="177" spans="1:30" ht="21.75" customHeight="1">
      <c r="A177" s="57" t="s">
        <v>145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108"/>
      <c r="O177" s="108"/>
      <c r="P177" s="108"/>
      <c r="Q177" s="108"/>
      <c r="R177" s="108"/>
      <c r="S177" s="108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32">
        <f t="shared" ref="AD177:AD191" si="346">P177+Q177+R177</f>
        <v>0</v>
      </c>
    </row>
    <row r="178" spans="1:30" ht="21.75" customHeight="1">
      <c r="A178" s="25">
        <v>57</v>
      </c>
      <c r="B178" s="28" t="s">
        <v>147</v>
      </c>
      <c r="C178" s="29" t="s">
        <v>146</v>
      </c>
      <c r="D178" s="30" t="s">
        <v>313</v>
      </c>
      <c r="E178" s="31">
        <f>F179</f>
        <v>7781.6</v>
      </c>
      <c r="F178" s="32">
        <v>5520</v>
      </c>
      <c r="G178" s="33">
        <f>G179</f>
        <v>70</v>
      </c>
      <c r="H178" s="33">
        <f>H179</f>
        <v>1000</v>
      </c>
      <c r="I178" s="33">
        <f t="shared" ref="I178:I179" si="347">SUM(K178:O178)</f>
        <v>4581.6000000000004</v>
      </c>
      <c r="J178" s="32">
        <f>J179</f>
        <v>930</v>
      </c>
      <c r="K178" s="32">
        <f t="shared" ref="K178:Q178" si="348">K179</f>
        <v>1000</v>
      </c>
      <c r="L178" s="32">
        <f t="shared" si="348"/>
        <v>360</v>
      </c>
      <c r="M178" s="32">
        <f t="shared" si="348"/>
        <v>1160</v>
      </c>
      <c r="N178" s="95">
        <f t="shared" si="348"/>
        <v>1061.5999999999999</v>
      </c>
      <c r="O178" s="95">
        <f t="shared" si="348"/>
        <v>1000</v>
      </c>
      <c r="P178" s="95">
        <f t="shared" si="348"/>
        <v>700</v>
      </c>
      <c r="Q178" s="95">
        <f t="shared" si="348"/>
        <v>500</v>
      </c>
      <c r="R178" s="95">
        <f t="shared" ref="R178:R179" si="349">SUM(S178:AC178)</f>
        <v>1000</v>
      </c>
      <c r="S178" s="95">
        <f>S179</f>
        <v>500</v>
      </c>
      <c r="T178" s="32">
        <f t="shared" ref="T178:AC178" si="350">T179</f>
        <v>500</v>
      </c>
      <c r="U178" s="32">
        <f t="shared" si="350"/>
        <v>0</v>
      </c>
      <c r="V178" s="32">
        <f t="shared" si="350"/>
        <v>0</v>
      </c>
      <c r="W178" s="32">
        <f t="shared" si="350"/>
        <v>0</v>
      </c>
      <c r="X178" s="32">
        <f t="shared" si="350"/>
        <v>0</v>
      </c>
      <c r="Y178" s="32">
        <f t="shared" si="350"/>
        <v>0</v>
      </c>
      <c r="Z178" s="32">
        <f t="shared" si="350"/>
        <v>0</v>
      </c>
      <c r="AA178" s="32">
        <f t="shared" si="350"/>
        <v>0</v>
      </c>
      <c r="AB178" s="32">
        <f t="shared" si="350"/>
        <v>0</v>
      </c>
      <c r="AC178" s="32">
        <f t="shared" si="350"/>
        <v>0</v>
      </c>
      <c r="AD178" s="32">
        <f t="shared" si="346"/>
        <v>2200</v>
      </c>
    </row>
    <row r="179" spans="1:30" ht="17.25" customHeight="1">
      <c r="A179" s="45"/>
      <c r="B179" s="13" t="s">
        <v>30</v>
      </c>
      <c r="C179" s="35"/>
      <c r="D179" s="36"/>
      <c r="E179" s="37"/>
      <c r="F179" s="38">
        <f>H179+I179+AD179</f>
        <v>7781.6</v>
      </c>
      <c r="G179" s="39">
        <v>70</v>
      </c>
      <c r="H179" s="38">
        <v>1000</v>
      </c>
      <c r="I179" s="38">
        <f t="shared" si="347"/>
        <v>4581.6000000000004</v>
      </c>
      <c r="J179" s="38">
        <v>930</v>
      </c>
      <c r="K179" s="38">
        <v>1000</v>
      </c>
      <c r="L179" s="38">
        <v>360</v>
      </c>
      <c r="M179" s="38">
        <v>1160</v>
      </c>
      <c r="N179" s="93">
        <v>1061.5999999999999</v>
      </c>
      <c r="O179" s="44">
        <f>1000</f>
        <v>1000</v>
      </c>
      <c r="P179" s="38">
        <v>700</v>
      </c>
      <c r="Q179" s="94">
        <v>500</v>
      </c>
      <c r="R179" s="94">
        <f t="shared" si="349"/>
        <v>1000</v>
      </c>
      <c r="S179" s="94">
        <v>500</v>
      </c>
      <c r="T179" s="38">
        <v>500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B179" s="38">
        <v>0</v>
      </c>
      <c r="AC179" s="38">
        <v>0</v>
      </c>
      <c r="AD179" s="32">
        <f t="shared" si="346"/>
        <v>2200</v>
      </c>
    </row>
    <row r="180" spans="1:30" ht="21.75" customHeight="1">
      <c r="A180" s="71" t="s">
        <v>148</v>
      </c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3"/>
      <c r="O180" s="113"/>
      <c r="P180" s="113"/>
      <c r="Q180" s="113"/>
      <c r="R180" s="113"/>
      <c r="S180" s="113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32">
        <f t="shared" si="346"/>
        <v>0</v>
      </c>
    </row>
    <row r="181" spans="1:30" ht="21.75" customHeight="1">
      <c r="A181" s="25">
        <v>58</v>
      </c>
      <c r="B181" s="42" t="s">
        <v>294</v>
      </c>
      <c r="C181" s="29" t="s">
        <v>331</v>
      </c>
      <c r="D181" s="30" t="s">
        <v>150</v>
      </c>
      <c r="E181" s="31">
        <f>F182</f>
        <v>517026.48099999997</v>
      </c>
      <c r="F181" s="32">
        <f>F182</f>
        <v>517026.48099999997</v>
      </c>
      <c r="G181" s="33">
        <f>G182</f>
        <v>86833.94</v>
      </c>
      <c r="H181" s="33">
        <f>H182</f>
        <v>112422.387</v>
      </c>
      <c r="I181" s="33">
        <f t="shared" ref="I181:I197" si="351">SUM(K181:O181)</f>
        <v>215689.09399999998</v>
      </c>
      <c r="J181" s="32">
        <f>J182</f>
        <v>25588.447</v>
      </c>
      <c r="K181" s="32">
        <f t="shared" ref="K181:M181" si="352">K182</f>
        <v>47445</v>
      </c>
      <c r="L181" s="32">
        <f t="shared" si="352"/>
        <v>58112.15</v>
      </c>
      <c r="M181" s="32">
        <f t="shared" si="352"/>
        <v>53094.14</v>
      </c>
      <c r="N181" s="95">
        <f>N182</f>
        <v>40311.303999999996</v>
      </c>
      <c r="O181" s="95">
        <f t="shared" ref="O181:Q181" si="353">O182</f>
        <v>16726.5</v>
      </c>
      <c r="P181" s="96">
        <f t="shared" si="353"/>
        <v>22532</v>
      </c>
      <c r="Q181" s="95">
        <f t="shared" si="353"/>
        <v>20483</v>
      </c>
      <c r="R181" s="95">
        <v>145900</v>
      </c>
      <c r="S181" s="95">
        <f t="shared" ref="S181:AC181" si="354">S182</f>
        <v>36900</v>
      </c>
      <c r="T181" s="32">
        <f t="shared" si="354"/>
        <v>74000</v>
      </c>
      <c r="U181" s="32">
        <f t="shared" si="354"/>
        <v>35000</v>
      </c>
      <c r="V181" s="32">
        <f t="shared" si="354"/>
        <v>0</v>
      </c>
      <c r="W181" s="32">
        <f t="shared" si="354"/>
        <v>0</v>
      </c>
      <c r="X181" s="32">
        <f t="shared" si="354"/>
        <v>0</v>
      </c>
      <c r="Y181" s="32">
        <f t="shared" si="354"/>
        <v>0</v>
      </c>
      <c r="Z181" s="32">
        <f t="shared" si="354"/>
        <v>0</v>
      </c>
      <c r="AA181" s="32">
        <f t="shared" si="354"/>
        <v>0</v>
      </c>
      <c r="AB181" s="32">
        <f t="shared" si="354"/>
        <v>0</v>
      </c>
      <c r="AC181" s="32">
        <f t="shared" si="354"/>
        <v>0</v>
      </c>
      <c r="AD181" s="32">
        <f t="shared" si="346"/>
        <v>188915</v>
      </c>
    </row>
    <row r="182" spans="1:30" ht="17.25" customHeight="1">
      <c r="A182" s="45"/>
      <c r="B182" s="13" t="s">
        <v>30</v>
      </c>
      <c r="C182" s="35"/>
      <c r="D182" s="36"/>
      <c r="E182" s="37"/>
      <c r="F182" s="38">
        <f>H182+I182+AD182</f>
        <v>517026.48099999997</v>
      </c>
      <c r="G182" s="39">
        <v>86833.94</v>
      </c>
      <c r="H182" s="38">
        <v>112422.387</v>
      </c>
      <c r="I182" s="38">
        <f t="shared" si="351"/>
        <v>215689.09399999998</v>
      </c>
      <c r="J182" s="38">
        <v>25588.447</v>
      </c>
      <c r="K182" s="38">
        <v>47445</v>
      </c>
      <c r="L182" s="38">
        <v>58112.15</v>
      </c>
      <c r="M182" s="40">
        <f>53071.309+22.831</f>
        <v>53094.14</v>
      </c>
      <c r="N182" s="93">
        <v>40311.303999999996</v>
      </c>
      <c r="O182" s="93">
        <v>16726.5</v>
      </c>
      <c r="P182" s="93">
        <v>22532</v>
      </c>
      <c r="Q182" s="93">
        <v>20483</v>
      </c>
      <c r="R182" s="93">
        <v>145900</v>
      </c>
      <c r="S182" s="93">
        <v>36900</v>
      </c>
      <c r="T182" s="40">
        <v>74000</v>
      </c>
      <c r="U182" s="38">
        <v>35000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2">
        <f t="shared" si="346"/>
        <v>188915</v>
      </c>
    </row>
    <row r="183" spans="1:30" ht="21.75" customHeight="1">
      <c r="A183" s="25">
        <v>59</v>
      </c>
      <c r="B183" s="42" t="s">
        <v>295</v>
      </c>
      <c r="C183" s="29" t="s">
        <v>149</v>
      </c>
      <c r="D183" s="30" t="s">
        <v>158</v>
      </c>
      <c r="E183" s="31">
        <f>F184</f>
        <v>159291.97899999999</v>
      </c>
      <c r="F183" s="32">
        <f>F184+F185</f>
        <v>159291.97899999999</v>
      </c>
      <c r="G183" s="32">
        <f>G184+G185</f>
        <v>70747.873999999996</v>
      </c>
      <c r="H183" s="32">
        <f>H184+H185</f>
        <v>80910.373999999996</v>
      </c>
      <c r="I183" s="33">
        <f t="shared" si="351"/>
        <v>58651.605000000003</v>
      </c>
      <c r="J183" s="32">
        <f t="shared" ref="J183:M183" si="355">J184+J185</f>
        <v>10162.5</v>
      </c>
      <c r="K183" s="32">
        <f t="shared" si="355"/>
        <v>13352.692999999999</v>
      </c>
      <c r="L183" s="32">
        <f t="shared" si="355"/>
        <v>4442.5420000000004</v>
      </c>
      <c r="M183" s="32">
        <f t="shared" si="355"/>
        <v>7898.8109999999997</v>
      </c>
      <c r="N183" s="95">
        <f>N184</f>
        <v>12807.963</v>
      </c>
      <c r="O183" s="95">
        <f t="shared" ref="O183:S183" si="356">O184</f>
        <v>20149.595999999998</v>
      </c>
      <c r="P183" s="95">
        <f t="shared" si="356"/>
        <v>7830</v>
      </c>
      <c r="Q183" s="95">
        <f t="shared" si="356"/>
        <v>5700</v>
      </c>
      <c r="R183" s="95">
        <v>6200</v>
      </c>
      <c r="S183" s="95">
        <f t="shared" si="356"/>
        <v>6200</v>
      </c>
      <c r="T183" s="95">
        <f t="shared" ref="T183" si="357">T184</f>
        <v>0</v>
      </c>
      <c r="U183" s="95">
        <f t="shared" ref="U183" si="358">U184</f>
        <v>0</v>
      </c>
      <c r="V183" s="95">
        <f t="shared" ref="V183" si="359">V184</f>
        <v>0</v>
      </c>
      <c r="W183" s="95">
        <f t="shared" ref="W183" si="360">W184</f>
        <v>0</v>
      </c>
      <c r="X183" s="95">
        <f t="shared" ref="X183" si="361">X184</f>
        <v>0</v>
      </c>
      <c r="Y183" s="95">
        <f t="shared" ref="Y183" si="362">Y184</f>
        <v>0</v>
      </c>
      <c r="Z183" s="95">
        <f t="shared" ref="Z183" si="363">Z184</f>
        <v>0</v>
      </c>
      <c r="AA183" s="95">
        <f t="shared" ref="AA183" si="364">AA184</f>
        <v>0</v>
      </c>
      <c r="AB183" s="95">
        <f t="shared" ref="AB183" si="365">AB184</f>
        <v>0</v>
      </c>
      <c r="AC183" s="95">
        <f t="shared" ref="AC183" si="366">AC184</f>
        <v>0</v>
      </c>
      <c r="AD183" s="32">
        <f t="shared" si="346"/>
        <v>19730</v>
      </c>
    </row>
    <row r="184" spans="1:30" ht="17.25" customHeight="1">
      <c r="A184" s="45"/>
      <c r="B184" s="13" t="s">
        <v>30</v>
      </c>
      <c r="C184" s="35"/>
      <c r="D184" s="36"/>
      <c r="E184" s="37"/>
      <c r="F184" s="38">
        <f>H184+I184+AD184</f>
        <v>159291.97899999999</v>
      </c>
      <c r="G184" s="39">
        <v>70747.873999999996</v>
      </c>
      <c r="H184" s="38">
        <v>80910.373999999996</v>
      </c>
      <c r="I184" s="38">
        <f t="shared" si="351"/>
        <v>58651.605000000003</v>
      </c>
      <c r="J184" s="38">
        <v>10162.5</v>
      </c>
      <c r="K184" s="44">
        <v>13352.692999999999</v>
      </c>
      <c r="L184" s="38">
        <v>4442.5420000000004</v>
      </c>
      <c r="M184" s="40">
        <f>8113.811-215</f>
        <v>7898.8109999999997</v>
      </c>
      <c r="N184" s="93">
        <v>12807.963</v>
      </c>
      <c r="O184" s="94">
        <v>20149.595999999998</v>
      </c>
      <c r="P184" s="94">
        <v>7830</v>
      </c>
      <c r="Q184" s="94">
        <v>5700</v>
      </c>
      <c r="R184" s="94">
        <v>6200</v>
      </c>
      <c r="S184" s="94">
        <v>6200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2">
        <f t="shared" si="346"/>
        <v>19730</v>
      </c>
    </row>
    <row r="185" spans="1:30" ht="17.25" customHeight="1">
      <c r="A185" s="34"/>
      <c r="B185" s="118" t="s">
        <v>38</v>
      </c>
      <c r="C185" s="38"/>
      <c r="D185" s="38"/>
      <c r="E185" s="38"/>
      <c r="F185" s="38">
        <f>H185+I185+AD185</f>
        <v>0</v>
      </c>
      <c r="G185" s="38">
        <v>0</v>
      </c>
      <c r="H185" s="38">
        <v>0</v>
      </c>
      <c r="I185" s="38">
        <f t="shared" si="351"/>
        <v>0</v>
      </c>
      <c r="J185" s="16">
        <v>0</v>
      </c>
      <c r="K185" s="16">
        <v>0</v>
      </c>
      <c r="L185" s="49">
        <v>0</v>
      </c>
      <c r="M185" s="49">
        <v>0</v>
      </c>
      <c r="N185" s="98">
        <v>0</v>
      </c>
      <c r="O185" s="98">
        <v>0</v>
      </c>
      <c r="P185" s="99">
        <v>0</v>
      </c>
      <c r="Q185" s="99">
        <v>0</v>
      </c>
      <c r="R185" s="94">
        <v>0</v>
      </c>
      <c r="S185" s="99">
        <v>0</v>
      </c>
      <c r="T185" s="49">
        <v>0</v>
      </c>
      <c r="U185" s="49">
        <v>0</v>
      </c>
      <c r="V185" s="49">
        <v>0</v>
      </c>
      <c r="W185" s="49">
        <v>0</v>
      </c>
      <c r="X185" s="49">
        <v>0</v>
      </c>
      <c r="Y185" s="49">
        <v>0</v>
      </c>
      <c r="Z185" s="49">
        <v>0</v>
      </c>
      <c r="AA185" s="49">
        <v>0</v>
      </c>
      <c r="AB185" s="49">
        <v>0</v>
      </c>
      <c r="AC185" s="49">
        <v>0</v>
      </c>
      <c r="AD185" s="32">
        <f t="shared" si="346"/>
        <v>0</v>
      </c>
    </row>
    <row r="186" spans="1:30" ht="36.75" customHeight="1">
      <c r="A186" s="25">
        <v>60</v>
      </c>
      <c r="B186" s="28" t="s">
        <v>151</v>
      </c>
      <c r="C186" s="29" t="s">
        <v>152</v>
      </c>
      <c r="D186" s="54" t="s">
        <v>83</v>
      </c>
      <c r="E186" s="31">
        <f>F187</f>
        <v>100.44</v>
      </c>
      <c r="F186" s="32">
        <f>F187+F188</f>
        <v>669.59999999999991</v>
      </c>
      <c r="G186" s="32">
        <f>G187+G188</f>
        <v>0</v>
      </c>
      <c r="H186" s="32">
        <f>H187+H188</f>
        <v>0</v>
      </c>
      <c r="I186" s="33">
        <f t="shared" si="351"/>
        <v>670.41</v>
      </c>
      <c r="J186" s="32">
        <f t="shared" ref="J186:M186" si="367">J187+J188</f>
        <v>0</v>
      </c>
      <c r="K186" s="32">
        <f t="shared" si="367"/>
        <v>0</v>
      </c>
      <c r="L186" s="32">
        <f t="shared" si="367"/>
        <v>0</v>
      </c>
      <c r="M186" s="32">
        <f t="shared" si="367"/>
        <v>669</v>
      </c>
      <c r="N186" s="95">
        <v>1.4100000000000001</v>
      </c>
      <c r="O186" s="95">
        <v>0</v>
      </c>
      <c r="P186" s="95">
        <v>0</v>
      </c>
      <c r="Q186" s="95">
        <v>0</v>
      </c>
      <c r="R186" s="95">
        <v>0</v>
      </c>
      <c r="S186" s="95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f t="shared" ref="AA186:AC186" si="368">AA187+AA188</f>
        <v>0</v>
      </c>
      <c r="AB186" s="32">
        <f t="shared" si="368"/>
        <v>0</v>
      </c>
      <c r="AC186" s="32">
        <f t="shared" si="368"/>
        <v>0</v>
      </c>
      <c r="AD186" s="32">
        <f t="shared" si="346"/>
        <v>0</v>
      </c>
    </row>
    <row r="187" spans="1:30" ht="17.25" customHeight="1">
      <c r="A187" s="34"/>
      <c r="B187" s="13" t="s">
        <v>30</v>
      </c>
      <c r="C187" s="38"/>
      <c r="D187" s="38"/>
      <c r="E187" s="38"/>
      <c r="F187" s="38">
        <f>H187+I187+AD187</f>
        <v>100.44</v>
      </c>
      <c r="G187" s="38">
        <v>0</v>
      </c>
      <c r="H187" s="38">
        <v>0</v>
      </c>
      <c r="I187" s="38">
        <f t="shared" si="351"/>
        <v>100.44</v>
      </c>
      <c r="J187" s="16">
        <v>0</v>
      </c>
      <c r="K187" s="16">
        <v>0</v>
      </c>
      <c r="L187" s="17">
        <v>0</v>
      </c>
      <c r="M187" s="17">
        <v>100.35</v>
      </c>
      <c r="N187" s="98">
        <v>0.09</v>
      </c>
      <c r="O187" s="98">
        <v>0</v>
      </c>
      <c r="P187" s="99">
        <v>0</v>
      </c>
      <c r="Q187" s="99">
        <v>0</v>
      </c>
      <c r="R187" s="94">
        <v>0</v>
      </c>
      <c r="S187" s="99">
        <v>0</v>
      </c>
      <c r="T187" s="49">
        <v>0</v>
      </c>
      <c r="U187" s="49">
        <v>0</v>
      </c>
      <c r="V187" s="49">
        <v>0</v>
      </c>
      <c r="W187" s="49">
        <v>0</v>
      </c>
      <c r="X187" s="49">
        <v>0</v>
      </c>
      <c r="Y187" s="49">
        <v>0</v>
      </c>
      <c r="Z187" s="49">
        <v>0</v>
      </c>
      <c r="AA187" s="49">
        <v>0</v>
      </c>
      <c r="AB187" s="49">
        <v>0</v>
      </c>
      <c r="AC187" s="49">
        <v>0</v>
      </c>
      <c r="AD187" s="32">
        <f t="shared" si="346"/>
        <v>0</v>
      </c>
    </row>
    <row r="188" spans="1:30" ht="17.25" customHeight="1">
      <c r="A188" s="34"/>
      <c r="B188" s="43" t="s">
        <v>38</v>
      </c>
      <c r="C188" s="38"/>
      <c r="D188" s="38"/>
      <c r="E188" s="38"/>
      <c r="F188" s="38">
        <f>H188+I188+AD188</f>
        <v>569.16</v>
      </c>
      <c r="G188" s="38">
        <v>0</v>
      </c>
      <c r="H188" s="38">
        <v>0</v>
      </c>
      <c r="I188" s="38">
        <f t="shared" si="351"/>
        <v>569.16</v>
      </c>
      <c r="J188" s="16">
        <v>0</v>
      </c>
      <c r="K188" s="16">
        <v>0</v>
      </c>
      <c r="L188" s="17">
        <v>0</v>
      </c>
      <c r="M188" s="17">
        <v>568.65</v>
      </c>
      <c r="N188" s="98">
        <v>0.51</v>
      </c>
      <c r="O188" s="98">
        <v>0</v>
      </c>
      <c r="P188" s="99">
        <v>0</v>
      </c>
      <c r="Q188" s="99">
        <v>0</v>
      </c>
      <c r="R188" s="94">
        <v>0</v>
      </c>
      <c r="S188" s="99">
        <v>0</v>
      </c>
      <c r="T188" s="49">
        <v>0</v>
      </c>
      <c r="U188" s="49">
        <v>0</v>
      </c>
      <c r="V188" s="49">
        <v>0</v>
      </c>
      <c r="W188" s="49">
        <v>0</v>
      </c>
      <c r="X188" s="49">
        <v>0</v>
      </c>
      <c r="Y188" s="49">
        <v>0</v>
      </c>
      <c r="Z188" s="49">
        <v>0</v>
      </c>
      <c r="AA188" s="49">
        <v>0</v>
      </c>
      <c r="AB188" s="49">
        <v>0</v>
      </c>
      <c r="AC188" s="49">
        <v>0</v>
      </c>
      <c r="AD188" s="32">
        <f t="shared" si="346"/>
        <v>0</v>
      </c>
    </row>
    <row r="189" spans="1:30" ht="21.75" customHeight="1">
      <c r="A189" s="25">
        <v>61</v>
      </c>
      <c r="B189" s="28" t="s">
        <v>153</v>
      </c>
      <c r="C189" s="29" t="s">
        <v>154</v>
      </c>
      <c r="D189" s="54" t="s">
        <v>83</v>
      </c>
      <c r="E189" s="31">
        <f>F190</f>
        <v>563.11900000000003</v>
      </c>
      <c r="F189" s="32">
        <f>F190+F191</f>
        <v>2803.4090000000001</v>
      </c>
      <c r="G189" s="32">
        <f>G190+G191</f>
        <v>0</v>
      </c>
      <c r="H189" s="32">
        <f>H190+H191</f>
        <v>0</v>
      </c>
      <c r="I189" s="33">
        <f t="shared" si="351"/>
        <v>2803.4090000000001</v>
      </c>
      <c r="J189" s="32">
        <f t="shared" ref="J189:M189" si="369">J190+J191</f>
        <v>0</v>
      </c>
      <c r="K189" s="32">
        <f t="shared" si="369"/>
        <v>0</v>
      </c>
      <c r="L189" s="32">
        <f t="shared" si="369"/>
        <v>0</v>
      </c>
      <c r="M189" s="32">
        <f t="shared" si="369"/>
        <v>2802.4090000000001</v>
      </c>
      <c r="N189" s="95">
        <v>1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32">
        <v>0</v>
      </c>
      <c r="U189" s="32">
        <v>0</v>
      </c>
      <c r="V189" s="32">
        <v>0</v>
      </c>
      <c r="W189" s="32">
        <v>0</v>
      </c>
      <c r="X189" s="32">
        <v>0</v>
      </c>
      <c r="Y189" s="32">
        <v>0</v>
      </c>
      <c r="Z189" s="32">
        <v>0</v>
      </c>
      <c r="AA189" s="32">
        <f t="shared" ref="AA189:AC189" si="370">AA190+AA191</f>
        <v>0</v>
      </c>
      <c r="AB189" s="32">
        <f t="shared" si="370"/>
        <v>0</v>
      </c>
      <c r="AC189" s="32">
        <f t="shared" si="370"/>
        <v>0</v>
      </c>
      <c r="AD189" s="32">
        <f t="shared" si="346"/>
        <v>0</v>
      </c>
    </row>
    <row r="190" spans="1:30" ht="17.25" customHeight="1">
      <c r="A190" s="34"/>
      <c r="B190" s="13" t="s">
        <v>30</v>
      </c>
      <c r="C190" s="38"/>
      <c r="D190" s="38"/>
      <c r="E190" s="38"/>
      <c r="F190" s="38">
        <f>H190+I190+AD190</f>
        <v>563.11900000000003</v>
      </c>
      <c r="G190" s="38">
        <v>0</v>
      </c>
      <c r="H190" s="38">
        <v>0</v>
      </c>
      <c r="I190" s="38">
        <f t="shared" si="351"/>
        <v>563.11900000000003</v>
      </c>
      <c r="J190" s="16">
        <v>0</v>
      </c>
      <c r="K190" s="16">
        <v>0</v>
      </c>
      <c r="L190" s="17">
        <v>0</v>
      </c>
      <c r="M190" s="17">
        <v>562.96900000000005</v>
      </c>
      <c r="N190" s="98">
        <v>0.15</v>
      </c>
      <c r="O190" s="98">
        <v>0</v>
      </c>
      <c r="P190" s="99">
        <v>0</v>
      </c>
      <c r="Q190" s="99">
        <v>0</v>
      </c>
      <c r="R190" s="94">
        <v>0</v>
      </c>
      <c r="S190" s="99">
        <v>0</v>
      </c>
      <c r="T190" s="49">
        <v>0</v>
      </c>
      <c r="U190" s="49">
        <v>0</v>
      </c>
      <c r="V190" s="49">
        <v>0</v>
      </c>
      <c r="W190" s="49">
        <v>0</v>
      </c>
      <c r="X190" s="49">
        <v>0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32">
        <f t="shared" si="346"/>
        <v>0</v>
      </c>
    </row>
    <row r="191" spans="1:30" ht="17.25" customHeight="1">
      <c r="A191" s="34"/>
      <c r="B191" s="43" t="s">
        <v>38</v>
      </c>
      <c r="C191" s="38"/>
      <c r="D191" s="38"/>
      <c r="E191" s="38"/>
      <c r="F191" s="38">
        <f>H191+I191+AD191</f>
        <v>2240.29</v>
      </c>
      <c r="G191" s="38">
        <v>0</v>
      </c>
      <c r="H191" s="38">
        <v>0</v>
      </c>
      <c r="I191" s="38">
        <f t="shared" si="351"/>
        <v>2240.29</v>
      </c>
      <c r="J191" s="16">
        <v>0</v>
      </c>
      <c r="K191" s="16">
        <v>0</v>
      </c>
      <c r="L191" s="17">
        <v>0</v>
      </c>
      <c r="M191" s="17">
        <v>2239.44</v>
      </c>
      <c r="N191" s="98">
        <v>0.85</v>
      </c>
      <c r="O191" s="98">
        <v>0</v>
      </c>
      <c r="P191" s="99">
        <v>0</v>
      </c>
      <c r="Q191" s="99">
        <v>0</v>
      </c>
      <c r="R191" s="94">
        <v>0</v>
      </c>
      <c r="S191" s="99">
        <v>0</v>
      </c>
      <c r="T191" s="49">
        <v>0</v>
      </c>
      <c r="U191" s="49">
        <v>0</v>
      </c>
      <c r="V191" s="49">
        <v>0</v>
      </c>
      <c r="W191" s="49">
        <v>0</v>
      </c>
      <c r="X191" s="49">
        <v>0</v>
      </c>
      <c r="Y191" s="49">
        <v>0</v>
      </c>
      <c r="Z191" s="49">
        <v>0</v>
      </c>
      <c r="AA191" s="49">
        <v>0</v>
      </c>
      <c r="AB191" s="49">
        <v>0</v>
      </c>
      <c r="AC191" s="49">
        <v>0</v>
      </c>
      <c r="AD191" s="32">
        <f t="shared" si="346"/>
        <v>0</v>
      </c>
    </row>
    <row r="192" spans="1:30" ht="21.75" customHeight="1">
      <c r="A192" s="25">
        <v>62</v>
      </c>
      <c r="B192" s="28" t="s">
        <v>155</v>
      </c>
      <c r="C192" s="29" t="s">
        <v>134</v>
      </c>
      <c r="D192" s="54" t="s">
        <v>83</v>
      </c>
      <c r="E192" s="31">
        <f>F193</f>
        <v>10136.448</v>
      </c>
      <c r="F192" s="32">
        <f>F193+F194</f>
        <v>15228.286</v>
      </c>
      <c r="G192" s="32">
        <f>G193+G194</f>
        <v>0</v>
      </c>
      <c r="H192" s="32">
        <f>H193+H194</f>
        <v>0</v>
      </c>
      <c r="I192" s="33">
        <f t="shared" si="351"/>
        <v>15228.286</v>
      </c>
      <c r="J192" s="32">
        <f t="shared" ref="J192:AD192" si="371">J193+J194</f>
        <v>0</v>
      </c>
      <c r="K192" s="32">
        <f t="shared" si="371"/>
        <v>0</v>
      </c>
      <c r="L192" s="32">
        <f t="shared" si="371"/>
        <v>0</v>
      </c>
      <c r="M192" s="32">
        <f t="shared" si="371"/>
        <v>11374.448</v>
      </c>
      <c r="N192" s="95">
        <f>N193+N194</f>
        <v>3853.8380000000002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32">
        <v>0</v>
      </c>
      <c r="U192" s="32">
        <v>0</v>
      </c>
      <c r="V192" s="32">
        <v>0</v>
      </c>
      <c r="W192" s="32">
        <v>0</v>
      </c>
      <c r="X192" s="32">
        <v>0</v>
      </c>
      <c r="Y192" s="32">
        <v>0</v>
      </c>
      <c r="Z192" s="32">
        <v>0</v>
      </c>
      <c r="AA192" s="32">
        <f t="shared" si="371"/>
        <v>0</v>
      </c>
      <c r="AB192" s="32">
        <f t="shared" si="371"/>
        <v>0</v>
      </c>
      <c r="AC192" s="32">
        <f t="shared" si="371"/>
        <v>0</v>
      </c>
      <c r="AD192" s="32">
        <f t="shared" si="371"/>
        <v>0</v>
      </c>
    </row>
    <row r="193" spans="1:30" ht="17.25" customHeight="1">
      <c r="A193" s="34"/>
      <c r="B193" s="13" t="s">
        <v>30</v>
      </c>
      <c r="C193" s="38"/>
      <c r="D193" s="38"/>
      <c r="E193" s="38"/>
      <c r="F193" s="38">
        <f>H193+I193+AD193</f>
        <v>10136.448</v>
      </c>
      <c r="G193" s="38">
        <v>0</v>
      </c>
      <c r="H193" s="38">
        <v>0</v>
      </c>
      <c r="I193" s="38">
        <f t="shared" si="351"/>
        <v>10136.448</v>
      </c>
      <c r="J193" s="16">
        <v>0</v>
      </c>
      <c r="K193" s="16">
        <v>0</v>
      </c>
      <c r="L193" s="17">
        <v>0</v>
      </c>
      <c r="M193" s="53">
        <v>6866.3710000000001</v>
      </c>
      <c r="N193" s="100">
        <v>3270.0770000000002</v>
      </c>
      <c r="O193" s="98">
        <v>0</v>
      </c>
      <c r="P193" s="99">
        <v>0</v>
      </c>
      <c r="Q193" s="99">
        <v>0</v>
      </c>
      <c r="R193" s="94">
        <v>0</v>
      </c>
      <c r="S193" s="99">
        <v>0</v>
      </c>
      <c r="T193" s="49">
        <v>0</v>
      </c>
      <c r="U193" s="49">
        <v>0</v>
      </c>
      <c r="V193" s="49">
        <v>0</v>
      </c>
      <c r="W193" s="49">
        <v>0</v>
      </c>
      <c r="X193" s="49">
        <v>0</v>
      </c>
      <c r="Y193" s="49">
        <v>0</v>
      </c>
      <c r="Z193" s="49">
        <v>0</v>
      </c>
      <c r="AA193" s="49">
        <v>0</v>
      </c>
      <c r="AB193" s="49">
        <v>0</v>
      </c>
      <c r="AC193" s="49">
        <v>0</v>
      </c>
      <c r="AD193" s="32">
        <f t="shared" ref="AD193:AD200" si="372">P193+Q193+R193</f>
        <v>0</v>
      </c>
    </row>
    <row r="194" spans="1:30" ht="17.25" customHeight="1">
      <c r="A194" s="34"/>
      <c r="B194" s="43" t="s">
        <v>38</v>
      </c>
      <c r="C194" s="38"/>
      <c r="D194" s="38"/>
      <c r="E194" s="38"/>
      <c r="F194" s="38">
        <f>H194+I194+AD194</f>
        <v>5091.8379999999997</v>
      </c>
      <c r="G194" s="38">
        <v>0</v>
      </c>
      <c r="H194" s="38">
        <v>0</v>
      </c>
      <c r="I194" s="38">
        <f t="shared" si="351"/>
        <v>5091.8379999999997</v>
      </c>
      <c r="J194" s="16">
        <v>0</v>
      </c>
      <c r="K194" s="16">
        <v>0</v>
      </c>
      <c r="L194" s="17">
        <v>0</v>
      </c>
      <c r="M194" s="53">
        <v>4508.0770000000002</v>
      </c>
      <c r="N194" s="100">
        <v>583.76099999999997</v>
      </c>
      <c r="O194" s="98">
        <v>0</v>
      </c>
      <c r="P194" s="99">
        <v>0</v>
      </c>
      <c r="Q194" s="99">
        <v>0</v>
      </c>
      <c r="R194" s="94">
        <v>0</v>
      </c>
      <c r="S194" s="99">
        <v>0</v>
      </c>
      <c r="T194" s="49">
        <v>0</v>
      </c>
      <c r="U194" s="49">
        <v>0</v>
      </c>
      <c r="V194" s="49">
        <v>0</v>
      </c>
      <c r="W194" s="49">
        <v>0</v>
      </c>
      <c r="X194" s="49">
        <v>0</v>
      </c>
      <c r="Y194" s="49">
        <v>0</v>
      </c>
      <c r="Z194" s="49">
        <v>0</v>
      </c>
      <c r="AA194" s="49">
        <v>0</v>
      </c>
      <c r="AB194" s="49">
        <v>0</v>
      </c>
      <c r="AC194" s="49">
        <v>0</v>
      </c>
      <c r="AD194" s="32">
        <f t="shared" si="372"/>
        <v>0</v>
      </c>
    </row>
    <row r="195" spans="1:30" ht="27.75" customHeight="1">
      <c r="A195" s="25">
        <v>63</v>
      </c>
      <c r="B195" s="122" t="s">
        <v>316</v>
      </c>
      <c r="C195" s="29" t="s">
        <v>156</v>
      </c>
      <c r="D195" s="30" t="s">
        <v>150</v>
      </c>
      <c r="E195" s="31">
        <f>F196</f>
        <v>129105.465</v>
      </c>
      <c r="F195" s="32">
        <f>F196+F197</f>
        <v>129105.465</v>
      </c>
      <c r="G195" s="32">
        <f>G196+G197</f>
        <v>50155.805</v>
      </c>
      <c r="H195" s="32">
        <f>H196+H197</f>
        <v>52785.805</v>
      </c>
      <c r="I195" s="33">
        <f t="shared" si="351"/>
        <v>63829.66</v>
      </c>
      <c r="J195" s="32">
        <f t="shared" ref="J195:M195" si="373">J196+J197</f>
        <v>2630</v>
      </c>
      <c r="K195" s="32">
        <f t="shared" si="373"/>
        <v>4730</v>
      </c>
      <c r="L195" s="32">
        <f t="shared" si="373"/>
        <v>3175.31</v>
      </c>
      <c r="M195" s="32">
        <f t="shared" si="373"/>
        <v>9831.7000000000007</v>
      </c>
      <c r="N195" s="95">
        <f>N196+N197</f>
        <v>40572.65</v>
      </c>
      <c r="O195" s="95">
        <f t="shared" ref="O195:S195" si="374">O196+O197</f>
        <v>5520</v>
      </c>
      <c r="P195" s="95">
        <f t="shared" si="374"/>
        <v>990</v>
      </c>
      <c r="Q195" s="95">
        <f t="shared" si="374"/>
        <v>3500</v>
      </c>
      <c r="R195" s="95">
        <v>8000</v>
      </c>
      <c r="S195" s="95">
        <f t="shared" si="374"/>
        <v>2000</v>
      </c>
      <c r="T195" s="95">
        <f t="shared" ref="T195" si="375">T196+T197</f>
        <v>3000</v>
      </c>
      <c r="U195" s="95">
        <f t="shared" ref="U195" si="376">U196+U197</f>
        <v>3000</v>
      </c>
      <c r="V195" s="95">
        <f t="shared" ref="V195" si="377">V196+V197</f>
        <v>0</v>
      </c>
      <c r="W195" s="95">
        <f t="shared" ref="W195" si="378">W196+W197</f>
        <v>0</v>
      </c>
      <c r="X195" s="95">
        <f t="shared" ref="X195" si="379">X196+X197</f>
        <v>0</v>
      </c>
      <c r="Y195" s="95">
        <f t="shared" ref="Y195" si="380">Y196+Y197</f>
        <v>0</v>
      </c>
      <c r="Z195" s="95">
        <f t="shared" ref="Z195" si="381">Z196+Z197</f>
        <v>0</v>
      </c>
      <c r="AA195" s="95">
        <f t="shared" ref="AA195" si="382">AA196+AA197</f>
        <v>0</v>
      </c>
      <c r="AB195" s="95">
        <f t="shared" ref="AB195" si="383">AB196+AB197</f>
        <v>0</v>
      </c>
      <c r="AC195" s="95">
        <f t="shared" ref="AC195" si="384">AC196+AC197</f>
        <v>0</v>
      </c>
      <c r="AD195" s="32">
        <f t="shared" si="372"/>
        <v>12490</v>
      </c>
    </row>
    <row r="196" spans="1:30" ht="17.25" customHeight="1">
      <c r="A196" s="45"/>
      <c r="B196" s="13" t="s">
        <v>30</v>
      </c>
      <c r="C196" s="35"/>
      <c r="D196" s="36"/>
      <c r="E196" s="37"/>
      <c r="F196" s="38">
        <f>H196+I196+AD196</f>
        <v>129105.465</v>
      </c>
      <c r="G196" s="39">
        <v>50155.805</v>
      </c>
      <c r="H196" s="38">
        <v>52785.805</v>
      </c>
      <c r="I196" s="38">
        <f t="shared" si="351"/>
        <v>63829.66</v>
      </c>
      <c r="J196" s="38">
        <v>2630</v>
      </c>
      <c r="K196" s="38">
        <v>4730</v>
      </c>
      <c r="L196" s="38">
        <v>3175.31</v>
      </c>
      <c r="M196" s="40">
        <v>9831.7000000000007</v>
      </c>
      <c r="N196" s="94">
        <v>40572.65</v>
      </c>
      <c r="O196" s="93">
        <v>5520</v>
      </c>
      <c r="P196" s="93">
        <v>990</v>
      </c>
      <c r="Q196" s="93">
        <v>3500</v>
      </c>
      <c r="R196" s="93">
        <v>8000</v>
      </c>
      <c r="S196" s="93">
        <v>2000</v>
      </c>
      <c r="T196" s="40">
        <v>3000</v>
      </c>
      <c r="U196" s="38">
        <v>3000</v>
      </c>
      <c r="V196" s="38">
        <v>0</v>
      </c>
      <c r="W196" s="38">
        <v>0</v>
      </c>
      <c r="X196" s="38">
        <v>0</v>
      </c>
      <c r="Y196" s="38">
        <v>0</v>
      </c>
      <c r="Z196" s="38">
        <v>0</v>
      </c>
      <c r="AA196" s="38">
        <v>0</v>
      </c>
      <c r="AB196" s="38">
        <v>0</v>
      </c>
      <c r="AC196" s="38">
        <v>0</v>
      </c>
      <c r="AD196" s="32">
        <f t="shared" si="372"/>
        <v>12490</v>
      </c>
    </row>
    <row r="197" spans="1:30" ht="17.25" customHeight="1">
      <c r="A197" s="45"/>
      <c r="B197" s="43" t="s">
        <v>38</v>
      </c>
      <c r="C197" s="35"/>
      <c r="D197" s="36"/>
      <c r="E197" s="37"/>
      <c r="F197" s="38">
        <f>H197+I197+AD197</f>
        <v>0</v>
      </c>
      <c r="G197" s="39">
        <v>0</v>
      </c>
      <c r="H197" s="38">
        <v>0</v>
      </c>
      <c r="I197" s="38">
        <f t="shared" si="351"/>
        <v>0</v>
      </c>
      <c r="J197" s="38">
        <v>0</v>
      </c>
      <c r="K197" s="38">
        <v>0</v>
      </c>
      <c r="L197" s="38">
        <v>0</v>
      </c>
      <c r="M197" s="38">
        <v>0</v>
      </c>
      <c r="N197" s="94">
        <v>0</v>
      </c>
      <c r="O197" s="94">
        <v>0</v>
      </c>
      <c r="P197" s="94">
        <v>0</v>
      </c>
      <c r="Q197" s="94">
        <v>0</v>
      </c>
      <c r="R197" s="94">
        <v>0</v>
      </c>
      <c r="S197" s="94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38">
        <v>0</v>
      </c>
      <c r="AC197" s="38">
        <v>0</v>
      </c>
      <c r="AD197" s="32">
        <f t="shared" si="372"/>
        <v>0</v>
      </c>
    </row>
    <row r="198" spans="1:30" ht="21.75" customHeight="1">
      <c r="A198" s="25">
        <v>64</v>
      </c>
      <c r="B198" s="42" t="s">
        <v>157</v>
      </c>
      <c r="C198" s="29" t="s">
        <v>290</v>
      </c>
      <c r="D198" s="30" t="s">
        <v>150</v>
      </c>
      <c r="E198" s="31">
        <f>F199</f>
        <v>159555.90100000001</v>
      </c>
      <c r="F198" s="32">
        <f>F199+F200</f>
        <v>159555.90100000001</v>
      </c>
      <c r="G198" s="32">
        <f>G199+G200</f>
        <v>68929.676999999996</v>
      </c>
      <c r="H198" s="32">
        <f>H199+H200</f>
        <v>69052.676999999996</v>
      </c>
      <c r="I198" s="33">
        <f t="shared" ref="I198:I216" si="385">SUM(K198:O198)</f>
        <v>43720.811000000002</v>
      </c>
      <c r="J198" s="32">
        <f>J199</f>
        <v>123</v>
      </c>
      <c r="K198" s="32">
        <f t="shared" ref="K198:Q198" si="386">K199+K200</f>
        <v>7720</v>
      </c>
      <c r="L198" s="32">
        <f t="shared" si="386"/>
        <v>823</v>
      </c>
      <c r="M198" s="32">
        <f t="shared" si="386"/>
        <v>2821.1</v>
      </c>
      <c r="N198" s="95">
        <f t="shared" si="386"/>
        <v>24479.32</v>
      </c>
      <c r="O198" s="95">
        <f t="shared" si="386"/>
        <v>7877.3909999999996</v>
      </c>
      <c r="P198" s="96">
        <f t="shared" si="386"/>
        <v>9292.0210000000006</v>
      </c>
      <c r="Q198" s="95">
        <f t="shared" si="386"/>
        <v>13190.392</v>
      </c>
      <c r="R198" s="95">
        <v>24300</v>
      </c>
      <c r="S198" s="95">
        <f t="shared" ref="S198:AC198" si="387">S199+S200</f>
        <v>15000</v>
      </c>
      <c r="T198" s="32">
        <f t="shared" si="387"/>
        <v>9300</v>
      </c>
      <c r="U198" s="32">
        <f t="shared" si="387"/>
        <v>0</v>
      </c>
      <c r="V198" s="32">
        <f t="shared" si="387"/>
        <v>0</v>
      </c>
      <c r="W198" s="32">
        <f t="shared" si="387"/>
        <v>0</v>
      </c>
      <c r="X198" s="32">
        <f t="shared" si="387"/>
        <v>0</v>
      </c>
      <c r="Y198" s="32">
        <f t="shared" si="387"/>
        <v>0</v>
      </c>
      <c r="Z198" s="32">
        <f t="shared" si="387"/>
        <v>0</v>
      </c>
      <c r="AA198" s="32">
        <f t="shared" si="387"/>
        <v>0</v>
      </c>
      <c r="AB198" s="32">
        <f t="shared" si="387"/>
        <v>0</v>
      </c>
      <c r="AC198" s="32">
        <f t="shared" si="387"/>
        <v>0</v>
      </c>
      <c r="AD198" s="32">
        <f t="shared" si="372"/>
        <v>46782.413</v>
      </c>
    </row>
    <row r="199" spans="1:30" ht="17.25" customHeight="1">
      <c r="A199" s="45"/>
      <c r="B199" s="13" t="s">
        <v>30</v>
      </c>
      <c r="C199" s="35"/>
      <c r="D199" s="36"/>
      <c r="E199" s="37"/>
      <c r="F199" s="38">
        <f>H199+I199+AD199</f>
        <v>159555.90100000001</v>
      </c>
      <c r="G199" s="38">
        <v>68929.676999999996</v>
      </c>
      <c r="H199" s="38">
        <v>69052.676999999996</v>
      </c>
      <c r="I199" s="38">
        <f t="shared" si="385"/>
        <v>43720.811000000002</v>
      </c>
      <c r="J199" s="38">
        <v>123</v>
      </c>
      <c r="K199" s="38">
        <v>7720</v>
      </c>
      <c r="L199" s="38">
        <v>823</v>
      </c>
      <c r="M199" s="40">
        <v>2821.1</v>
      </c>
      <c r="N199" s="94">
        <v>24479.32</v>
      </c>
      <c r="O199" s="94">
        <v>7877.3909999999996</v>
      </c>
      <c r="P199" s="94">
        <v>9292.0210000000006</v>
      </c>
      <c r="Q199" s="94">
        <v>13190.392</v>
      </c>
      <c r="R199" s="94">
        <v>24300</v>
      </c>
      <c r="S199" s="94">
        <v>15000</v>
      </c>
      <c r="T199" s="38">
        <v>9300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B199" s="38">
        <v>0</v>
      </c>
      <c r="AC199" s="38">
        <v>0</v>
      </c>
      <c r="AD199" s="32">
        <f t="shared" si="372"/>
        <v>46782.413</v>
      </c>
    </row>
    <row r="200" spans="1:30" ht="17.25" customHeight="1">
      <c r="A200" s="45"/>
      <c r="B200" s="121" t="s">
        <v>38</v>
      </c>
      <c r="C200" s="35"/>
      <c r="D200" s="36"/>
      <c r="E200" s="37"/>
      <c r="F200" s="38">
        <f>H200+I200+AD200</f>
        <v>0</v>
      </c>
      <c r="G200" s="38"/>
      <c r="H200" s="38"/>
      <c r="I200" s="38">
        <f t="shared" si="385"/>
        <v>0</v>
      </c>
      <c r="J200" s="38"/>
      <c r="K200" s="38"/>
      <c r="L200" s="38">
        <v>0</v>
      </c>
      <c r="M200" s="38">
        <v>0</v>
      </c>
      <c r="N200" s="94"/>
      <c r="O200" s="94"/>
      <c r="P200" s="94"/>
      <c r="Q200" s="94"/>
      <c r="R200" s="94">
        <v>0</v>
      </c>
      <c r="S200" s="94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2">
        <f t="shared" si="372"/>
        <v>0</v>
      </c>
    </row>
    <row r="201" spans="1:30" ht="42" customHeight="1">
      <c r="A201" s="25">
        <v>65</v>
      </c>
      <c r="B201" s="28" t="s">
        <v>159</v>
      </c>
      <c r="C201" s="29" t="s">
        <v>262</v>
      </c>
      <c r="D201" s="54" t="s">
        <v>83</v>
      </c>
      <c r="E201" s="31">
        <f>F202</f>
        <v>2762.5249999999996</v>
      </c>
      <c r="F201" s="32">
        <f>F202+F203</f>
        <v>4476.2729999999992</v>
      </c>
      <c r="G201" s="32">
        <f>G202+G203</f>
        <v>0</v>
      </c>
      <c r="H201" s="32">
        <f>H202+H203</f>
        <v>0</v>
      </c>
      <c r="I201" s="33">
        <f t="shared" si="385"/>
        <v>4476.2730000000001</v>
      </c>
      <c r="J201" s="32">
        <f t="shared" ref="J201:AD201" si="388">J202+J203</f>
        <v>0</v>
      </c>
      <c r="K201" s="32">
        <f t="shared" si="388"/>
        <v>0</v>
      </c>
      <c r="L201" s="32">
        <f t="shared" si="388"/>
        <v>0</v>
      </c>
      <c r="M201" s="32">
        <f t="shared" si="388"/>
        <v>1199.8389999999999</v>
      </c>
      <c r="N201" s="95">
        <f t="shared" si="388"/>
        <v>1430.5549999999998</v>
      </c>
      <c r="O201" s="95">
        <f t="shared" si="388"/>
        <v>1845.8790000000001</v>
      </c>
      <c r="P201" s="95">
        <f t="shared" si="388"/>
        <v>0</v>
      </c>
      <c r="Q201" s="95">
        <f t="shared" si="388"/>
        <v>0</v>
      </c>
      <c r="R201" s="95">
        <v>0</v>
      </c>
      <c r="S201" s="95">
        <f t="shared" ref="S201:AC201" si="389">S202+S203</f>
        <v>0</v>
      </c>
      <c r="T201" s="32">
        <f t="shared" si="389"/>
        <v>0</v>
      </c>
      <c r="U201" s="32">
        <f t="shared" si="389"/>
        <v>0</v>
      </c>
      <c r="V201" s="32">
        <f t="shared" si="389"/>
        <v>0</v>
      </c>
      <c r="W201" s="32">
        <f t="shared" si="389"/>
        <v>0</v>
      </c>
      <c r="X201" s="32">
        <f t="shared" si="389"/>
        <v>0</v>
      </c>
      <c r="Y201" s="32">
        <f t="shared" si="389"/>
        <v>0</v>
      </c>
      <c r="Z201" s="32">
        <f t="shared" si="389"/>
        <v>0</v>
      </c>
      <c r="AA201" s="32">
        <f t="shared" si="389"/>
        <v>0</v>
      </c>
      <c r="AB201" s="32">
        <f t="shared" si="389"/>
        <v>0</v>
      </c>
      <c r="AC201" s="32">
        <f t="shared" si="389"/>
        <v>0</v>
      </c>
      <c r="AD201" s="32">
        <f t="shared" si="388"/>
        <v>0</v>
      </c>
    </row>
    <row r="202" spans="1:30" ht="17.25" customHeight="1">
      <c r="A202" s="34"/>
      <c r="B202" s="13" t="s">
        <v>30</v>
      </c>
      <c r="C202" s="38"/>
      <c r="D202" s="38"/>
      <c r="E202" s="38"/>
      <c r="F202" s="38">
        <f>H202+I202+AD202</f>
        <v>2762.5249999999996</v>
      </c>
      <c r="G202" s="38">
        <v>0</v>
      </c>
      <c r="H202" s="38">
        <v>0</v>
      </c>
      <c r="I202" s="38">
        <f t="shared" si="385"/>
        <v>2762.5249999999996</v>
      </c>
      <c r="J202" s="16">
        <v>0</v>
      </c>
      <c r="K202" s="16">
        <v>0</v>
      </c>
      <c r="L202" s="49">
        <v>0</v>
      </c>
      <c r="M202" s="53">
        <f>787.971-77</f>
        <v>710.971</v>
      </c>
      <c r="N202" s="100">
        <v>581.40499999999986</v>
      </c>
      <c r="O202" s="100">
        <v>1470.1490000000001</v>
      </c>
      <c r="P202" s="100">
        <v>0</v>
      </c>
      <c r="Q202" s="99">
        <v>0</v>
      </c>
      <c r="R202" s="94">
        <v>0</v>
      </c>
      <c r="S202" s="99">
        <v>0</v>
      </c>
      <c r="T202" s="49">
        <v>0</v>
      </c>
      <c r="U202" s="49">
        <v>0</v>
      </c>
      <c r="V202" s="49">
        <v>0</v>
      </c>
      <c r="W202" s="49">
        <v>0</v>
      </c>
      <c r="X202" s="49">
        <v>0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32">
        <f t="shared" ref="AD202:AD243" si="390">P202+Q202+R202</f>
        <v>0</v>
      </c>
    </row>
    <row r="203" spans="1:30" ht="17.25" customHeight="1">
      <c r="A203" s="34"/>
      <c r="B203" s="43" t="s">
        <v>38</v>
      </c>
      <c r="C203" s="38"/>
      <c r="D203" s="38"/>
      <c r="E203" s="38"/>
      <c r="F203" s="38">
        <f>H203+I203+AD203</f>
        <v>1713.7479999999998</v>
      </c>
      <c r="G203" s="38">
        <v>0</v>
      </c>
      <c r="H203" s="38">
        <v>0</v>
      </c>
      <c r="I203" s="38">
        <f t="shared" si="385"/>
        <v>1713.7479999999998</v>
      </c>
      <c r="J203" s="16">
        <v>0</v>
      </c>
      <c r="K203" s="16">
        <v>0</v>
      </c>
      <c r="L203" s="49">
        <v>0</v>
      </c>
      <c r="M203" s="53">
        <v>488.86799999999999</v>
      </c>
      <c r="N203" s="100">
        <v>849.14999999999986</v>
      </c>
      <c r="O203" s="100">
        <v>375.72999999999996</v>
      </c>
      <c r="P203" s="100">
        <v>0</v>
      </c>
      <c r="Q203" s="99">
        <v>0</v>
      </c>
      <c r="R203" s="94">
        <v>0</v>
      </c>
      <c r="S203" s="99">
        <v>0</v>
      </c>
      <c r="T203" s="49">
        <v>0</v>
      </c>
      <c r="U203" s="49">
        <v>0</v>
      </c>
      <c r="V203" s="49">
        <v>0</v>
      </c>
      <c r="W203" s="49">
        <v>0</v>
      </c>
      <c r="X203" s="49">
        <v>0</v>
      </c>
      <c r="Y203" s="49">
        <v>0</v>
      </c>
      <c r="Z203" s="49">
        <v>0</v>
      </c>
      <c r="AA203" s="49">
        <v>0</v>
      </c>
      <c r="AB203" s="49">
        <v>0</v>
      </c>
      <c r="AC203" s="49">
        <v>0</v>
      </c>
      <c r="AD203" s="32">
        <f t="shared" si="390"/>
        <v>0</v>
      </c>
    </row>
    <row r="204" spans="1:30" ht="21.75" customHeight="1">
      <c r="A204" s="25">
        <v>66</v>
      </c>
      <c r="B204" s="28" t="s">
        <v>160</v>
      </c>
      <c r="C204" s="29" t="s">
        <v>286</v>
      </c>
      <c r="D204" s="54" t="s">
        <v>81</v>
      </c>
      <c r="E204" s="31">
        <f>F205</f>
        <v>1570.4920000000002</v>
      </c>
      <c r="F204" s="32">
        <f>F205+F206</f>
        <v>3475.2520000000004</v>
      </c>
      <c r="G204" s="32">
        <f>G205+G206</f>
        <v>0</v>
      </c>
      <c r="H204" s="32">
        <f>H205+H206</f>
        <v>0</v>
      </c>
      <c r="I204" s="33">
        <f t="shared" si="385"/>
        <v>3475.252</v>
      </c>
      <c r="J204" s="32">
        <f t="shared" ref="J204:Q204" si="391">J205+J206</f>
        <v>0</v>
      </c>
      <c r="K204" s="32">
        <f t="shared" si="391"/>
        <v>0</v>
      </c>
      <c r="L204" s="32">
        <f t="shared" si="391"/>
        <v>0.995</v>
      </c>
      <c r="M204" s="32">
        <f t="shared" si="391"/>
        <v>1966.1379999999999</v>
      </c>
      <c r="N204" s="95">
        <f t="shared" si="391"/>
        <v>1508.1190000000001</v>
      </c>
      <c r="O204" s="95">
        <f t="shared" si="391"/>
        <v>0</v>
      </c>
      <c r="P204" s="95">
        <f t="shared" si="391"/>
        <v>0</v>
      </c>
      <c r="Q204" s="95">
        <f t="shared" si="391"/>
        <v>0</v>
      </c>
      <c r="R204" s="95">
        <v>0</v>
      </c>
      <c r="S204" s="95">
        <f t="shared" ref="S204:AC204" si="392">S205+S206</f>
        <v>0</v>
      </c>
      <c r="T204" s="32">
        <f t="shared" si="392"/>
        <v>0</v>
      </c>
      <c r="U204" s="32">
        <f t="shared" si="392"/>
        <v>0</v>
      </c>
      <c r="V204" s="32">
        <f t="shared" si="392"/>
        <v>0</v>
      </c>
      <c r="W204" s="32">
        <f t="shared" si="392"/>
        <v>0</v>
      </c>
      <c r="X204" s="32">
        <f t="shared" si="392"/>
        <v>0</v>
      </c>
      <c r="Y204" s="32">
        <f t="shared" si="392"/>
        <v>0</v>
      </c>
      <c r="Z204" s="32">
        <f t="shared" si="392"/>
        <v>0</v>
      </c>
      <c r="AA204" s="32">
        <f t="shared" si="392"/>
        <v>0</v>
      </c>
      <c r="AB204" s="32">
        <f t="shared" si="392"/>
        <v>0</v>
      </c>
      <c r="AC204" s="32">
        <f t="shared" si="392"/>
        <v>0</v>
      </c>
      <c r="AD204" s="32">
        <f t="shared" si="390"/>
        <v>0</v>
      </c>
    </row>
    <row r="205" spans="1:30" ht="17.25" customHeight="1">
      <c r="A205" s="34"/>
      <c r="B205" s="13" t="s">
        <v>30</v>
      </c>
      <c r="C205" s="38"/>
      <c r="D205" s="38"/>
      <c r="E205" s="38"/>
      <c r="F205" s="38">
        <f>H205+I205+AD205</f>
        <v>1570.4920000000002</v>
      </c>
      <c r="G205" s="38">
        <v>0</v>
      </c>
      <c r="H205" s="38">
        <v>0</v>
      </c>
      <c r="I205" s="38">
        <f t="shared" si="385"/>
        <v>1570.4920000000002</v>
      </c>
      <c r="J205" s="16">
        <v>0</v>
      </c>
      <c r="K205" s="16">
        <v>0</v>
      </c>
      <c r="L205" s="17">
        <v>0.995</v>
      </c>
      <c r="M205" s="53">
        <v>885.74599999999998</v>
      </c>
      <c r="N205" s="100">
        <v>683.75100000000009</v>
      </c>
      <c r="O205" s="98">
        <v>0</v>
      </c>
      <c r="P205" s="99">
        <v>0</v>
      </c>
      <c r="Q205" s="99">
        <v>0</v>
      </c>
      <c r="R205" s="94">
        <v>0</v>
      </c>
      <c r="S205" s="99">
        <v>0</v>
      </c>
      <c r="T205" s="49">
        <v>0</v>
      </c>
      <c r="U205" s="49">
        <v>0</v>
      </c>
      <c r="V205" s="49">
        <v>0</v>
      </c>
      <c r="W205" s="49">
        <v>0</v>
      </c>
      <c r="X205" s="49">
        <v>0</v>
      </c>
      <c r="Y205" s="49">
        <v>0</v>
      </c>
      <c r="Z205" s="49">
        <v>0</v>
      </c>
      <c r="AA205" s="49">
        <v>0</v>
      </c>
      <c r="AB205" s="49">
        <v>0</v>
      </c>
      <c r="AC205" s="49">
        <v>0</v>
      </c>
      <c r="AD205" s="32">
        <f t="shared" si="390"/>
        <v>0</v>
      </c>
    </row>
    <row r="206" spans="1:30" ht="17.25" customHeight="1">
      <c r="A206" s="34"/>
      <c r="B206" s="43" t="s">
        <v>38</v>
      </c>
      <c r="C206" s="38"/>
      <c r="D206" s="38"/>
      <c r="E206" s="38"/>
      <c r="F206" s="38">
        <f>H206+I206+AD206</f>
        <v>1904.7600000000002</v>
      </c>
      <c r="G206" s="38">
        <v>0</v>
      </c>
      <c r="H206" s="38">
        <v>0</v>
      </c>
      <c r="I206" s="38">
        <f t="shared" si="385"/>
        <v>1904.7600000000002</v>
      </c>
      <c r="J206" s="16">
        <v>0</v>
      </c>
      <c r="K206" s="16">
        <v>0</v>
      </c>
      <c r="L206" s="17">
        <v>0</v>
      </c>
      <c r="M206" s="53">
        <v>1080.3920000000001</v>
      </c>
      <c r="N206" s="100">
        <v>824.36800000000005</v>
      </c>
      <c r="O206" s="98">
        <v>0</v>
      </c>
      <c r="P206" s="99">
        <v>0</v>
      </c>
      <c r="Q206" s="99">
        <v>0</v>
      </c>
      <c r="R206" s="94">
        <v>0</v>
      </c>
      <c r="S206" s="99">
        <v>0</v>
      </c>
      <c r="T206" s="49">
        <v>0</v>
      </c>
      <c r="U206" s="49">
        <v>0</v>
      </c>
      <c r="V206" s="49">
        <v>0</v>
      </c>
      <c r="W206" s="49">
        <v>0</v>
      </c>
      <c r="X206" s="49">
        <v>0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32">
        <f t="shared" si="390"/>
        <v>0</v>
      </c>
    </row>
    <row r="207" spans="1:30" ht="21.75" customHeight="1">
      <c r="A207" s="25">
        <v>67</v>
      </c>
      <c r="B207" s="28" t="s">
        <v>161</v>
      </c>
      <c r="C207" s="29" t="s">
        <v>162</v>
      </c>
      <c r="D207" s="54" t="s">
        <v>83</v>
      </c>
      <c r="E207" s="31">
        <f>F208</f>
        <v>80.061999999999998</v>
      </c>
      <c r="F207" s="32">
        <f>F208+F209</f>
        <v>533.74400000000003</v>
      </c>
      <c r="G207" s="32">
        <f>G208+G209</f>
        <v>0</v>
      </c>
      <c r="H207" s="32">
        <f>H208+H209</f>
        <v>0</v>
      </c>
      <c r="I207" s="33">
        <f t="shared" si="385"/>
        <v>533.74400000000003</v>
      </c>
      <c r="J207" s="32">
        <f t="shared" ref="J207:Q207" si="393">J208+J209</f>
        <v>0</v>
      </c>
      <c r="K207" s="32">
        <f t="shared" si="393"/>
        <v>0</v>
      </c>
      <c r="L207" s="32">
        <f t="shared" si="393"/>
        <v>170.99</v>
      </c>
      <c r="M207" s="33">
        <f t="shared" si="393"/>
        <v>165.07599999999999</v>
      </c>
      <c r="N207" s="95">
        <f t="shared" si="393"/>
        <v>197.678</v>
      </c>
      <c r="O207" s="95">
        <f t="shared" si="393"/>
        <v>0</v>
      </c>
      <c r="P207" s="95">
        <f t="shared" si="393"/>
        <v>0</v>
      </c>
      <c r="Q207" s="95">
        <f t="shared" si="393"/>
        <v>0</v>
      </c>
      <c r="R207" s="95">
        <v>0</v>
      </c>
      <c r="S207" s="95">
        <f t="shared" ref="S207:AC207" si="394">S208+S209</f>
        <v>0</v>
      </c>
      <c r="T207" s="32">
        <f t="shared" si="394"/>
        <v>0</v>
      </c>
      <c r="U207" s="32">
        <f t="shared" si="394"/>
        <v>0</v>
      </c>
      <c r="V207" s="32">
        <f t="shared" si="394"/>
        <v>0</v>
      </c>
      <c r="W207" s="32">
        <f t="shared" si="394"/>
        <v>0</v>
      </c>
      <c r="X207" s="32">
        <f t="shared" si="394"/>
        <v>0</v>
      </c>
      <c r="Y207" s="32">
        <f t="shared" si="394"/>
        <v>0</v>
      </c>
      <c r="Z207" s="32">
        <f t="shared" si="394"/>
        <v>0</v>
      </c>
      <c r="AA207" s="32">
        <f t="shared" si="394"/>
        <v>0</v>
      </c>
      <c r="AB207" s="32">
        <f t="shared" si="394"/>
        <v>0</v>
      </c>
      <c r="AC207" s="32">
        <f t="shared" si="394"/>
        <v>0</v>
      </c>
      <c r="AD207" s="32">
        <f t="shared" si="390"/>
        <v>0</v>
      </c>
    </row>
    <row r="208" spans="1:30" ht="17.25" customHeight="1">
      <c r="A208" s="34"/>
      <c r="B208" s="13" t="s">
        <v>30</v>
      </c>
      <c r="C208" s="38"/>
      <c r="D208" s="38"/>
      <c r="E208" s="38"/>
      <c r="F208" s="38">
        <f>H208+I208+AD208</f>
        <v>80.061999999999998</v>
      </c>
      <c r="G208" s="38">
        <v>0</v>
      </c>
      <c r="H208" s="38">
        <v>0</v>
      </c>
      <c r="I208" s="38">
        <f t="shared" si="385"/>
        <v>80.061999999999998</v>
      </c>
      <c r="J208" s="16">
        <v>0</v>
      </c>
      <c r="K208" s="16">
        <v>0</v>
      </c>
      <c r="L208" s="17">
        <v>25.648</v>
      </c>
      <c r="M208" s="49">
        <v>24.762</v>
      </c>
      <c r="N208" s="98">
        <v>29.652000000000001</v>
      </c>
      <c r="O208" s="98">
        <v>0</v>
      </c>
      <c r="P208" s="99">
        <v>0</v>
      </c>
      <c r="Q208" s="99">
        <v>0</v>
      </c>
      <c r="R208" s="94">
        <v>0</v>
      </c>
      <c r="S208" s="99">
        <v>0</v>
      </c>
      <c r="T208" s="49">
        <v>0</v>
      </c>
      <c r="U208" s="49">
        <v>0</v>
      </c>
      <c r="V208" s="49">
        <v>0</v>
      </c>
      <c r="W208" s="49">
        <v>0</v>
      </c>
      <c r="X208" s="49">
        <v>0</v>
      </c>
      <c r="Y208" s="49">
        <v>0</v>
      </c>
      <c r="Z208" s="49">
        <v>0</v>
      </c>
      <c r="AA208" s="49">
        <v>0</v>
      </c>
      <c r="AB208" s="49">
        <v>0</v>
      </c>
      <c r="AC208" s="49">
        <v>0</v>
      </c>
      <c r="AD208" s="32">
        <f t="shared" si="390"/>
        <v>0</v>
      </c>
    </row>
    <row r="209" spans="1:30" ht="17.25" customHeight="1">
      <c r="A209" s="34"/>
      <c r="B209" s="43" t="s">
        <v>38</v>
      </c>
      <c r="C209" s="38"/>
      <c r="D209" s="38"/>
      <c r="E209" s="38"/>
      <c r="F209" s="38">
        <f>H209+I209+AD209</f>
        <v>453.68200000000002</v>
      </c>
      <c r="G209" s="38">
        <v>0</v>
      </c>
      <c r="H209" s="38">
        <v>0</v>
      </c>
      <c r="I209" s="38">
        <f t="shared" si="385"/>
        <v>453.68200000000002</v>
      </c>
      <c r="J209" s="16">
        <v>0</v>
      </c>
      <c r="K209" s="16">
        <v>0</v>
      </c>
      <c r="L209" s="17">
        <v>145.34200000000001</v>
      </c>
      <c r="M209" s="17">
        <v>140.31399999999999</v>
      </c>
      <c r="N209" s="98">
        <v>168.02600000000001</v>
      </c>
      <c r="O209" s="98">
        <v>0</v>
      </c>
      <c r="P209" s="99">
        <v>0</v>
      </c>
      <c r="Q209" s="99">
        <v>0</v>
      </c>
      <c r="R209" s="94">
        <v>0</v>
      </c>
      <c r="S209" s="99">
        <v>0</v>
      </c>
      <c r="T209" s="49">
        <v>0</v>
      </c>
      <c r="U209" s="49">
        <v>0</v>
      </c>
      <c r="V209" s="49">
        <v>0</v>
      </c>
      <c r="W209" s="49">
        <v>0</v>
      </c>
      <c r="X209" s="49">
        <v>0</v>
      </c>
      <c r="Y209" s="49">
        <v>0</v>
      </c>
      <c r="Z209" s="49">
        <v>0</v>
      </c>
      <c r="AA209" s="49">
        <v>0</v>
      </c>
      <c r="AB209" s="49">
        <v>0</v>
      </c>
      <c r="AC209" s="49">
        <v>0</v>
      </c>
      <c r="AD209" s="32">
        <f t="shared" si="390"/>
        <v>0</v>
      </c>
    </row>
    <row r="210" spans="1:30" ht="21.75" customHeight="1">
      <c r="A210" s="25">
        <v>68</v>
      </c>
      <c r="B210" s="28" t="s">
        <v>163</v>
      </c>
      <c r="C210" s="29" t="s">
        <v>164</v>
      </c>
      <c r="D210" s="54" t="s">
        <v>83</v>
      </c>
      <c r="E210" s="31">
        <f>F211</f>
        <v>750.74900000000002</v>
      </c>
      <c r="F210" s="32">
        <f>F211+F212</f>
        <v>3772.6000000000004</v>
      </c>
      <c r="G210" s="32">
        <f>G211+G212</f>
        <v>0</v>
      </c>
      <c r="H210" s="32">
        <f>H211+H212</f>
        <v>0</v>
      </c>
      <c r="I210" s="33">
        <f t="shared" si="385"/>
        <v>3772.6</v>
      </c>
      <c r="J210" s="32">
        <f t="shared" ref="J210:Q210" si="395">J211+J212</f>
        <v>0</v>
      </c>
      <c r="K210" s="32">
        <f t="shared" si="395"/>
        <v>0</v>
      </c>
      <c r="L210" s="32">
        <f t="shared" si="395"/>
        <v>0</v>
      </c>
      <c r="M210" s="32">
        <f t="shared" si="395"/>
        <v>20.470000000000002</v>
      </c>
      <c r="N210" s="95">
        <f t="shared" si="395"/>
        <v>3752.13</v>
      </c>
      <c r="O210" s="95">
        <f t="shared" si="395"/>
        <v>0</v>
      </c>
      <c r="P210" s="95">
        <f t="shared" si="395"/>
        <v>0</v>
      </c>
      <c r="Q210" s="95">
        <f t="shared" si="395"/>
        <v>0</v>
      </c>
      <c r="R210" s="95">
        <v>0</v>
      </c>
      <c r="S210" s="95">
        <f t="shared" ref="S210:AC210" si="396">S211+S212</f>
        <v>0</v>
      </c>
      <c r="T210" s="32">
        <f t="shared" si="396"/>
        <v>0</v>
      </c>
      <c r="U210" s="32">
        <f t="shared" si="396"/>
        <v>0</v>
      </c>
      <c r="V210" s="32">
        <f t="shared" si="396"/>
        <v>0</v>
      </c>
      <c r="W210" s="32">
        <f t="shared" si="396"/>
        <v>0</v>
      </c>
      <c r="X210" s="32">
        <f t="shared" si="396"/>
        <v>0</v>
      </c>
      <c r="Y210" s="32">
        <f t="shared" si="396"/>
        <v>0</v>
      </c>
      <c r="Z210" s="32">
        <f t="shared" si="396"/>
        <v>0</v>
      </c>
      <c r="AA210" s="32">
        <f t="shared" si="396"/>
        <v>0</v>
      </c>
      <c r="AB210" s="32">
        <f t="shared" si="396"/>
        <v>0</v>
      </c>
      <c r="AC210" s="32">
        <f t="shared" si="396"/>
        <v>0</v>
      </c>
      <c r="AD210" s="32">
        <f t="shared" si="390"/>
        <v>0</v>
      </c>
    </row>
    <row r="211" spans="1:30" ht="17.25" customHeight="1">
      <c r="A211" s="34"/>
      <c r="B211" s="13" t="s">
        <v>30</v>
      </c>
      <c r="C211" s="38"/>
      <c r="D211" s="38"/>
      <c r="E211" s="38"/>
      <c r="F211" s="38">
        <f>H211+I211+AD211</f>
        <v>750.74900000000002</v>
      </c>
      <c r="G211" s="38">
        <v>0</v>
      </c>
      <c r="H211" s="38">
        <v>0</v>
      </c>
      <c r="I211" s="38">
        <f t="shared" si="385"/>
        <v>750.74900000000002</v>
      </c>
      <c r="J211" s="16">
        <v>0</v>
      </c>
      <c r="K211" s="16">
        <v>0</v>
      </c>
      <c r="L211" s="17">
        <v>0</v>
      </c>
      <c r="M211" s="17">
        <v>3.0710000000000002</v>
      </c>
      <c r="N211" s="98">
        <v>747.678</v>
      </c>
      <c r="O211" s="98">
        <v>0</v>
      </c>
      <c r="P211" s="99">
        <v>0</v>
      </c>
      <c r="Q211" s="99">
        <v>0</v>
      </c>
      <c r="R211" s="94">
        <v>0</v>
      </c>
      <c r="S211" s="99">
        <v>0</v>
      </c>
      <c r="T211" s="49">
        <v>0</v>
      </c>
      <c r="U211" s="49">
        <v>0</v>
      </c>
      <c r="V211" s="49">
        <v>0</v>
      </c>
      <c r="W211" s="49">
        <v>0</v>
      </c>
      <c r="X211" s="49">
        <v>0</v>
      </c>
      <c r="Y211" s="49">
        <v>0</v>
      </c>
      <c r="Z211" s="49">
        <v>0</v>
      </c>
      <c r="AA211" s="49">
        <v>0</v>
      </c>
      <c r="AB211" s="49">
        <v>0</v>
      </c>
      <c r="AC211" s="49">
        <v>0</v>
      </c>
      <c r="AD211" s="32">
        <f t="shared" si="390"/>
        <v>0</v>
      </c>
    </row>
    <row r="212" spans="1:30" ht="17.25" customHeight="1">
      <c r="A212" s="34"/>
      <c r="B212" s="43" t="s">
        <v>38</v>
      </c>
      <c r="C212" s="38"/>
      <c r="D212" s="38"/>
      <c r="E212" s="38"/>
      <c r="F212" s="38">
        <f>H212+I212+AD212</f>
        <v>3021.8510000000001</v>
      </c>
      <c r="G212" s="38">
        <v>0</v>
      </c>
      <c r="H212" s="38">
        <v>0</v>
      </c>
      <c r="I212" s="38">
        <f t="shared" si="385"/>
        <v>3021.8510000000001</v>
      </c>
      <c r="J212" s="16">
        <v>0</v>
      </c>
      <c r="K212" s="16">
        <v>0</v>
      </c>
      <c r="L212" s="17">
        <v>0</v>
      </c>
      <c r="M212" s="17">
        <v>17.399000000000001</v>
      </c>
      <c r="N212" s="98">
        <v>3004.4520000000002</v>
      </c>
      <c r="O212" s="98">
        <v>0</v>
      </c>
      <c r="P212" s="99">
        <v>0</v>
      </c>
      <c r="Q212" s="99">
        <v>0</v>
      </c>
      <c r="R212" s="94">
        <v>0</v>
      </c>
      <c r="S212" s="99">
        <v>0</v>
      </c>
      <c r="T212" s="49">
        <v>0</v>
      </c>
      <c r="U212" s="49">
        <v>0</v>
      </c>
      <c r="V212" s="49">
        <v>0</v>
      </c>
      <c r="W212" s="49">
        <v>0</v>
      </c>
      <c r="X212" s="49">
        <v>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32">
        <f t="shared" si="390"/>
        <v>0</v>
      </c>
    </row>
    <row r="213" spans="1:30" ht="21.75" customHeight="1">
      <c r="A213" s="25">
        <v>69</v>
      </c>
      <c r="B213" s="42" t="s">
        <v>95</v>
      </c>
      <c r="C213" s="29" t="s">
        <v>134</v>
      </c>
      <c r="D213" s="60" t="s">
        <v>133</v>
      </c>
      <c r="E213" s="31">
        <f>F214</f>
        <v>231</v>
      </c>
      <c r="F213" s="32">
        <f>F214</f>
        <v>231</v>
      </c>
      <c r="G213" s="33">
        <f>G214</f>
        <v>0</v>
      </c>
      <c r="H213" s="33">
        <f>H214</f>
        <v>0</v>
      </c>
      <c r="I213" s="33">
        <f t="shared" ref="I213:I214" si="397">SUM(K213:O213)</f>
        <v>231</v>
      </c>
      <c r="J213" s="32">
        <f>J214</f>
        <v>0</v>
      </c>
      <c r="K213" s="32">
        <f t="shared" ref="K213:Q213" si="398">K214</f>
        <v>0</v>
      </c>
      <c r="L213" s="32">
        <f t="shared" si="398"/>
        <v>0</v>
      </c>
      <c r="M213" s="32">
        <f t="shared" si="398"/>
        <v>0</v>
      </c>
      <c r="N213" s="95">
        <f t="shared" si="398"/>
        <v>231</v>
      </c>
      <c r="O213" s="95">
        <f t="shared" si="398"/>
        <v>0</v>
      </c>
      <c r="P213" s="95">
        <f t="shared" si="398"/>
        <v>0</v>
      </c>
      <c r="Q213" s="95">
        <f t="shared" si="398"/>
        <v>0</v>
      </c>
      <c r="R213" s="95">
        <v>0</v>
      </c>
      <c r="S213" s="95">
        <f t="shared" ref="S213:AC213" si="399">S214</f>
        <v>0</v>
      </c>
      <c r="T213" s="32">
        <f t="shared" si="399"/>
        <v>0</v>
      </c>
      <c r="U213" s="32">
        <f t="shared" si="399"/>
        <v>0</v>
      </c>
      <c r="V213" s="32">
        <f t="shared" si="399"/>
        <v>0</v>
      </c>
      <c r="W213" s="32">
        <f t="shared" si="399"/>
        <v>0</v>
      </c>
      <c r="X213" s="32">
        <f t="shared" si="399"/>
        <v>0</v>
      </c>
      <c r="Y213" s="32">
        <f t="shared" si="399"/>
        <v>0</v>
      </c>
      <c r="Z213" s="32">
        <f t="shared" si="399"/>
        <v>0</v>
      </c>
      <c r="AA213" s="32">
        <f t="shared" si="399"/>
        <v>0</v>
      </c>
      <c r="AB213" s="32">
        <f t="shared" si="399"/>
        <v>0</v>
      </c>
      <c r="AC213" s="32">
        <f t="shared" si="399"/>
        <v>0</v>
      </c>
      <c r="AD213" s="32">
        <f t="shared" si="390"/>
        <v>0</v>
      </c>
    </row>
    <row r="214" spans="1:30" ht="17.25" customHeight="1">
      <c r="A214" s="45"/>
      <c r="B214" s="13" t="s">
        <v>30</v>
      </c>
      <c r="C214" s="35"/>
      <c r="D214" s="36"/>
      <c r="E214" s="37"/>
      <c r="F214" s="38">
        <f>H214+I214+AD214</f>
        <v>231</v>
      </c>
      <c r="G214" s="39">
        <v>0</v>
      </c>
      <c r="H214" s="38">
        <v>0</v>
      </c>
      <c r="I214" s="38">
        <f t="shared" si="397"/>
        <v>231</v>
      </c>
      <c r="J214" s="38">
        <v>0</v>
      </c>
      <c r="K214" s="38">
        <v>0</v>
      </c>
      <c r="L214" s="38">
        <v>0</v>
      </c>
      <c r="M214" s="38">
        <v>0</v>
      </c>
      <c r="N214" s="94">
        <v>231</v>
      </c>
      <c r="O214" s="94">
        <v>0</v>
      </c>
      <c r="P214" s="94"/>
      <c r="Q214" s="94"/>
      <c r="R214" s="94">
        <v>0</v>
      </c>
      <c r="S214" s="94">
        <v>0</v>
      </c>
      <c r="T214" s="38">
        <v>0</v>
      </c>
      <c r="U214" s="38">
        <v>0</v>
      </c>
      <c r="V214" s="38">
        <v>0</v>
      </c>
      <c r="W214" s="38">
        <v>0</v>
      </c>
      <c r="X214" s="38">
        <v>0</v>
      </c>
      <c r="Y214" s="38">
        <v>0</v>
      </c>
      <c r="Z214" s="38">
        <v>0</v>
      </c>
      <c r="AA214" s="38">
        <v>0</v>
      </c>
      <c r="AB214" s="38">
        <v>0</v>
      </c>
      <c r="AC214" s="38">
        <v>0</v>
      </c>
      <c r="AD214" s="32">
        <f t="shared" si="390"/>
        <v>0</v>
      </c>
    </row>
    <row r="215" spans="1:30" ht="21.75" customHeight="1">
      <c r="A215" s="25">
        <v>70</v>
      </c>
      <c r="B215" s="42" t="s">
        <v>121</v>
      </c>
      <c r="C215" s="29" t="s">
        <v>165</v>
      </c>
      <c r="D215" s="30" t="s">
        <v>191</v>
      </c>
      <c r="E215" s="31">
        <f>F216</f>
        <v>6601.2489999999998</v>
      </c>
      <c r="F215" s="32">
        <v>6479</v>
      </c>
      <c r="G215" s="33">
        <f>G216</f>
        <v>0</v>
      </c>
      <c r="H215" s="33">
        <f>H216</f>
        <v>812</v>
      </c>
      <c r="I215" s="33">
        <f t="shared" si="385"/>
        <v>5789.2489999999998</v>
      </c>
      <c r="J215" s="32">
        <f>J216</f>
        <v>812</v>
      </c>
      <c r="K215" s="32">
        <f t="shared" ref="K215:Q215" si="400">K216</f>
        <v>3045</v>
      </c>
      <c r="L215" s="32">
        <f t="shared" si="400"/>
        <v>957</v>
      </c>
      <c r="M215" s="32">
        <f t="shared" si="400"/>
        <v>767.46</v>
      </c>
      <c r="N215" s="95">
        <f t="shared" si="400"/>
        <v>939.78899999999999</v>
      </c>
      <c r="O215" s="95">
        <f t="shared" si="400"/>
        <v>80</v>
      </c>
      <c r="P215" s="95">
        <f t="shared" si="400"/>
        <v>0</v>
      </c>
      <c r="Q215" s="95">
        <f t="shared" si="400"/>
        <v>0</v>
      </c>
      <c r="R215" s="95">
        <v>0</v>
      </c>
      <c r="S215" s="95">
        <f t="shared" ref="S215:AC215" si="401">S216</f>
        <v>0</v>
      </c>
      <c r="T215" s="32">
        <f t="shared" si="401"/>
        <v>0</v>
      </c>
      <c r="U215" s="32">
        <f t="shared" si="401"/>
        <v>0</v>
      </c>
      <c r="V215" s="32">
        <f t="shared" si="401"/>
        <v>0</v>
      </c>
      <c r="W215" s="32">
        <f t="shared" si="401"/>
        <v>0</v>
      </c>
      <c r="X215" s="32">
        <f t="shared" si="401"/>
        <v>0</v>
      </c>
      <c r="Y215" s="32">
        <f t="shared" si="401"/>
        <v>0</v>
      </c>
      <c r="Z215" s="32">
        <f t="shared" si="401"/>
        <v>0</v>
      </c>
      <c r="AA215" s="32">
        <f t="shared" si="401"/>
        <v>0</v>
      </c>
      <c r="AB215" s="32">
        <f t="shared" si="401"/>
        <v>0</v>
      </c>
      <c r="AC215" s="32">
        <f t="shared" si="401"/>
        <v>0</v>
      </c>
      <c r="AD215" s="32">
        <f t="shared" si="390"/>
        <v>0</v>
      </c>
    </row>
    <row r="216" spans="1:30" ht="17.25" customHeight="1">
      <c r="A216" s="45"/>
      <c r="B216" s="13" t="s">
        <v>30</v>
      </c>
      <c r="C216" s="35"/>
      <c r="D216" s="36"/>
      <c r="E216" s="37"/>
      <c r="F216" s="38">
        <f>H216+I216+AD216</f>
        <v>6601.2489999999998</v>
      </c>
      <c r="G216" s="39">
        <v>0</v>
      </c>
      <c r="H216" s="38">
        <v>812</v>
      </c>
      <c r="I216" s="38">
        <f t="shared" si="385"/>
        <v>5789.2489999999998</v>
      </c>
      <c r="J216" s="38">
        <v>812</v>
      </c>
      <c r="K216" s="38">
        <v>3045</v>
      </c>
      <c r="L216" s="38">
        <v>957</v>
      </c>
      <c r="M216" s="40">
        <v>767.46</v>
      </c>
      <c r="N216" s="94">
        <v>939.78899999999999</v>
      </c>
      <c r="O216" s="94">
        <v>80</v>
      </c>
      <c r="P216" s="94">
        <v>0</v>
      </c>
      <c r="Q216" s="94">
        <v>0</v>
      </c>
      <c r="R216" s="94">
        <v>0</v>
      </c>
      <c r="S216" s="94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8">
        <v>0</v>
      </c>
      <c r="AA216" s="38">
        <v>0</v>
      </c>
      <c r="AB216" s="38">
        <v>0</v>
      </c>
      <c r="AC216" s="38">
        <v>0</v>
      </c>
      <c r="AD216" s="32">
        <f t="shared" si="390"/>
        <v>0</v>
      </c>
    </row>
    <row r="217" spans="1:30" ht="21.75" customHeight="1">
      <c r="A217" s="57" t="s">
        <v>166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109"/>
      <c r="O217" s="109"/>
      <c r="P217" s="109"/>
      <c r="Q217" s="109"/>
      <c r="R217" s="109"/>
      <c r="S217" s="109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32">
        <f t="shared" si="390"/>
        <v>0</v>
      </c>
    </row>
    <row r="218" spans="1:30" ht="21.75" customHeight="1">
      <c r="A218" s="25">
        <v>71</v>
      </c>
      <c r="B218" s="28" t="s">
        <v>167</v>
      </c>
      <c r="C218" s="29" t="s">
        <v>260</v>
      </c>
      <c r="D218" s="54" t="s">
        <v>117</v>
      </c>
      <c r="E218" s="31">
        <f>F219</f>
        <v>4302.2700000000004</v>
      </c>
      <c r="F218" s="32">
        <v>9275</v>
      </c>
      <c r="G218" s="33">
        <f>G219</f>
        <v>0</v>
      </c>
      <c r="H218" s="33">
        <f>H219</f>
        <v>0</v>
      </c>
      <c r="I218" s="33">
        <f t="shared" ref="I218:I223" si="402">SUM(K218:O218)</f>
        <v>4302.2700000000004</v>
      </c>
      <c r="J218" s="32">
        <f>J219</f>
        <v>0</v>
      </c>
      <c r="K218" s="32">
        <f t="shared" ref="K218:Q218" si="403">K219</f>
        <v>2150</v>
      </c>
      <c r="L218" s="32">
        <f t="shared" si="403"/>
        <v>125</v>
      </c>
      <c r="M218" s="32">
        <f t="shared" si="403"/>
        <v>0</v>
      </c>
      <c r="N218" s="95">
        <f t="shared" si="403"/>
        <v>2027.27</v>
      </c>
      <c r="O218" s="95">
        <f t="shared" si="403"/>
        <v>0</v>
      </c>
      <c r="P218" s="95">
        <f t="shared" si="403"/>
        <v>0</v>
      </c>
      <c r="Q218" s="95">
        <f t="shared" si="403"/>
        <v>0</v>
      </c>
      <c r="R218" s="95">
        <f t="shared" ref="R218:R223" si="404">SUM(S218:AC218)</f>
        <v>0</v>
      </c>
      <c r="S218" s="95">
        <f>S219</f>
        <v>0</v>
      </c>
      <c r="T218" s="32">
        <f t="shared" ref="T218:AC218" si="405">T219</f>
        <v>0</v>
      </c>
      <c r="U218" s="32">
        <f t="shared" si="405"/>
        <v>0</v>
      </c>
      <c r="V218" s="32">
        <f t="shared" si="405"/>
        <v>0</v>
      </c>
      <c r="W218" s="32">
        <f t="shared" si="405"/>
        <v>0</v>
      </c>
      <c r="X218" s="32">
        <f t="shared" si="405"/>
        <v>0</v>
      </c>
      <c r="Y218" s="32">
        <f t="shared" si="405"/>
        <v>0</v>
      </c>
      <c r="Z218" s="32">
        <f t="shared" si="405"/>
        <v>0</v>
      </c>
      <c r="AA218" s="32">
        <f t="shared" si="405"/>
        <v>0</v>
      </c>
      <c r="AB218" s="32">
        <f t="shared" si="405"/>
        <v>0</v>
      </c>
      <c r="AC218" s="32">
        <f t="shared" si="405"/>
        <v>0</v>
      </c>
      <c r="AD218" s="32">
        <f t="shared" si="390"/>
        <v>0</v>
      </c>
    </row>
    <row r="219" spans="1:30" ht="17.25" customHeight="1">
      <c r="A219" s="45"/>
      <c r="B219" s="13" t="s">
        <v>30</v>
      </c>
      <c r="C219" s="35"/>
      <c r="D219" s="36"/>
      <c r="E219" s="37"/>
      <c r="F219" s="38">
        <f>H219+I219+AD219</f>
        <v>4302.2700000000004</v>
      </c>
      <c r="G219" s="39">
        <v>0</v>
      </c>
      <c r="H219" s="38">
        <v>0</v>
      </c>
      <c r="I219" s="38">
        <f t="shared" si="402"/>
        <v>4302.2700000000004</v>
      </c>
      <c r="J219" s="38">
        <v>0</v>
      </c>
      <c r="K219" s="38">
        <v>2150</v>
      </c>
      <c r="L219" s="38">
        <v>125</v>
      </c>
      <c r="M219" s="38">
        <v>0</v>
      </c>
      <c r="N219" s="93">
        <v>2027.27</v>
      </c>
      <c r="O219" s="93">
        <v>0</v>
      </c>
      <c r="P219" s="94">
        <v>0</v>
      </c>
      <c r="Q219" s="94">
        <v>0</v>
      </c>
      <c r="R219" s="94">
        <f t="shared" si="404"/>
        <v>0</v>
      </c>
      <c r="S219" s="94">
        <v>0</v>
      </c>
      <c r="T219" s="38">
        <v>0</v>
      </c>
      <c r="U219" s="38">
        <v>0</v>
      </c>
      <c r="V219" s="38">
        <v>0</v>
      </c>
      <c r="W219" s="38">
        <v>0</v>
      </c>
      <c r="X219" s="38">
        <v>0</v>
      </c>
      <c r="Y219" s="38">
        <v>0</v>
      </c>
      <c r="Z219" s="38">
        <v>0</v>
      </c>
      <c r="AA219" s="38">
        <v>0</v>
      </c>
      <c r="AB219" s="38">
        <v>0</v>
      </c>
      <c r="AC219" s="38">
        <v>0</v>
      </c>
      <c r="AD219" s="32">
        <f t="shared" si="390"/>
        <v>0</v>
      </c>
    </row>
    <row r="220" spans="1:30" ht="28.5" customHeight="1">
      <c r="A220" s="25">
        <v>72</v>
      </c>
      <c r="B220" s="63" t="s">
        <v>259</v>
      </c>
      <c r="C220" s="73" t="s">
        <v>260</v>
      </c>
      <c r="D220" s="74" t="s">
        <v>133</v>
      </c>
      <c r="E220" s="31">
        <f>F221</f>
        <v>830.3</v>
      </c>
      <c r="F220" s="32">
        <f>F221</f>
        <v>830.3</v>
      </c>
      <c r="G220" s="33">
        <f>G221</f>
        <v>0</v>
      </c>
      <c r="H220" s="33">
        <f>H221</f>
        <v>0</v>
      </c>
      <c r="I220" s="33">
        <f t="shared" ref="I220:I221" si="406">SUM(K220:O220)</f>
        <v>830.3</v>
      </c>
      <c r="J220" s="32">
        <f>J221</f>
        <v>0</v>
      </c>
      <c r="K220" s="32">
        <f t="shared" ref="K220:Q222" si="407">K221</f>
        <v>0</v>
      </c>
      <c r="L220" s="32">
        <f t="shared" si="407"/>
        <v>0</v>
      </c>
      <c r="M220" s="32">
        <f t="shared" si="407"/>
        <v>0</v>
      </c>
      <c r="N220" s="95">
        <f t="shared" si="407"/>
        <v>346.02</v>
      </c>
      <c r="O220" s="95">
        <f t="shared" si="407"/>
        <v>484.28</v>
      </c>
      <c r="P220" s="95">
        <f t="shared" si="407"/>
        <v>0</v>
      </c>
      <c r="Q220" s="95">
        <f t="shared" si="407"/>
        <v>0</v>
      </c>
      <c r="R220" s="95">
        <f t="shared" si="404"/>
        <v>0</v>
      </c>
      <c r="S220" s="95">
        <f>S221</f>
        <v>0</v>
      </c>
      <c r="T220" s="32">
        <f t="shared" ref="T220:AC222" si="408">T221</f>
        <v>0</v>
      </c>
      <c r="U220" s="32">
        <f t="shared" si="408"/>
        <v>0</v>
      </c>
      <c r="V220" s="32">
        <f t="shared" si="408"/>
        <v>0</v>
      </c>
      <c r="W220" s="32">
        <f t="shared" si="408"/>
        <v>0</v>
      </c>
      <c r="X220" s="32">
        <f t="shared" si="408"/>
        <v>0</v>
      </c>
      <c r="Y220" s="32">
        <f t="shared" si="408"/>
        <v>0</v>
      </c>
      <c r="Z220" s="32">
        <f t="shared" si="408"/>
        <v>0</v>
      </c>
      <c r="AA220" s="32">
        <f t="shared" si="408"/>
        <v>0</v>
      </c>
      <c r="AB220" s="32">
        <f t="shared" si="408"/>
        <v>0</v>
      </c>
      <c r="AC220" s="32">
        <f t="shared" si="408"/>
        <v>0</v>
      </c>
      <c r="AD220" s="32">
        <f t="shared" si="390"/>
        <v>0</v>
      </c>
    </row>
    <row r="221" spans="1:30" ht="17.25" customHeight="1">
      <c r="A221" s="45"/>
      <c r="B221" s="13" t="s">
        <v>30</v>
      </c>
      <c r="C221" s="35"/>
      <c r="D221" s="36"/>
      <c r="E221" s="37"/>
      <c r="F221" s="38">
        <f>H221+I221+AD221</f>
        <v>830.3</v>
      </c>
      <c r="G221" s="39">
        <v>0</v>
      </c>
      <c r="H221" s="38">
        <v>0</v>
      </c>
      <c r="I221" s="38">
        <f t="shared" si="406"/>
        <v>830.3</v>
      </c>
      <c r="J221" s="38">
        <v>0</v>
      </c>
      <c r="K221" s="38">
        <v>0</v>
      </c>
      <c r="L221" s="38">
        <v>0</v>
      </c>
      <c r="M221" s="40">
        <v>0</v>
      </c>
      <c r="N221" s="93">
        <f>900-90-80-383.98</f>
        <v>346.02</v>
      </c>
      <c r="O221" s="97">
        <v>484.28</v>
      </c>
      <c r="P221" s="94">
        <v>0</v>
      </c>
      <c r="Q221" s="94">
        <v>0</v>
      </c>
      <c r="R221" s="94">
        <f t="shared" si="404"/>
        <v>0</v>
      </c>
      <c r="S221" s="94">
        <v>0</v>
      </c>
      <c r="T221" s="38">
        <v>0</v>
      </c>
      <c r="U221" s="38">
        <v>0</v>
      </c>
      <c r="V221" s="38">
        <v>0</v>
      </c>
      <c r="W221" s="38">
        <v>0</v>
      </c>
      <c r="X221" s="38">
        <v>0</v>
      </c>
      <c r="Y221" s="38">
        <v>0</v>
      </c>
      <c r="Z221" s="38">
        <v>0</v>
      </c>
      <c r="AA221" s="38">
        <v>0</v>
      </c>
      <c r="AB221" s="38">
        <v>0</v>
      </c>
      <c r="AC221" s="38">
        <v>0</v>
      </c>
      <c r="AD221" s="32">
        <f t="shared" si="390"/>
        <v>0</v>
      </c>
    </row>
    <row r="222" spans="1:30" ht="30.75" customHeight="1">
      <c r="A222" s="25">
        <v>73</v>
      </c>
      <c r="B222" s="28" t="s">
        <v>251</v>
      </c>
      <c r="C222" s="29" t="s">
        <v>252</v>
      </c>
      <c r="D222" s="54" t="s">
        <v>81</v>
      </c>
      <c r="E222" s="31">
        <f>F223</f>
        <v>896.4</v>
      </c>
      <c r="F222" s="32">
        <f>F223</f>
        <v>896.4</v>
      </c>
      <c r="G222" s="33">
        <f>G223</f>
        <v>0</v>
      </c>
      <c r="H222" s="33">
        <f>H223</f>
        <v>0</v>
      </c>
      <c r="I222" s="33">
        <f t="shared" si="402"/>
        <v>896.4</v>
      </c>
      <c r="J222" s="32">
        <f>J223</f>
        <v>0</v>
      </c>
      <c r="K222" s="32">
        <f t="shared" si="407"/>
        <v>0</v>
      </c>
      <c r="L222" s="32">
        <f t="shared" si="407"/>
        <v>0</v>
      </c>
      <c r="M222" s="32">
        <f t="shared" si="407"/>
        <v>500</v>
      </c>
      <c r="N222" s="95">
        <f t="shared" si="407"/>
        <v>396.4</v>
      </c>
      <c r="O222" s="95">
        <f t="shared" si="407"/>
        <v>0</v>
      </c>
      <c r="P222" s="95">
        <f t="shared" si="407"/>
        <v>0</v>
      </c>
      <c r="Q222" s="95">
        <f t="shared" si="407"/>
        <v>0</v>
      </c>
      <c r="R222" s="95">
        <f t="shared" si="404"/>
        <v>0</v>
      </c>
      <c r="S222" s="95">
        <f>S223</f>
        <v>0</v>
      </c>
      <c r="T222" s="32">
        <f t="shared" si="408"/>
        <v>0</v>
      </c>
      <c r="U222" s="32">
        <f t="shared" si="408"/>
        <v>0</v>
      </c>
      <c r="V222" s="32">
        <f t="shared" si="408"/>
        <v>0</v>
      </c>
      <c r="W222" s="32">
        <f t="shared" si="408"/>
        <v>0</v>
      </c>
      <c r="X222" s="32">
        <f t="shared" si="408"/>
        <v>0</v>
      </c>
      <c r="Y222" s="32">
        <f t="shared" si="408"/>
        <v>0</v>
      </c>
      <c r="Z222" s="32">
        <f t="shared" si="408"/>
        <v>0</v>
      </c>
      <c r="AA222" s="32">
        <f t="shared" si="408"/>
        <v>0</v>
      </c>
      <c r="AB222" s="32">
        <f t="shared" si="408"/>
        <v>0</v>
      </c>
      <c r="AC222" s="32">
        <f t="shared" si="408"/>
        <v>0</v>
      </c>
      <c r="AD222" s="32">
        <f t="shared" si="390"/>
        <v>0</v>
      </c>
    </row>
    <row r="223" spans="1:30" ht="17.25" customHeight="1">
      <c r="A223" s="45"/>
      <c r="B223" s="13" t="s">
        <v>30</v>
      </c>
      <c r="C223" s="35"/>
      <c r="D223" s="36"/>
      <c r="E223" s="37"/>
      <c r="F223" s="38">
        <f>H223+I223+AD223</f>
        <v>896.4</v>
      </c>
      <c r="G223" s="39">
        <v>0</v>
      </c>
      <c r="H223" s="38">
        <v>0</v>
      </c>
      <c r="I223" s="38">
        <f t="shared" si="402"/>
        <v>896.4</v>
      </c>
      <c r="J223" s="38">
        <v>0</v>
      </c>
      <c r="K223" s="38">
        <v>0</v>
      </c>
      <c r="L223" s="38">
        <v>0</v>
      </c>
      <c r="M223" s="40">
        <v>500</v>
      </c>
      <c r="N223" s="93">
        <v>396.4</v>
      </c>
      <c r="O223" s="94">
        <v>0</v>
      </c>
      <c r="P223" s="94">
        <v>0</v>
      </c>
      <c r="Q223" s="94">
        <v>0</v>
      </c>
      <c r="R223" s="94">
        <f t="shared" si="404"/>
        <v>0</v>
      </c>
      <c r="S223" s="94">
        <v>0</v>
      </c>
      <c r="T223" s="38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8">
        <v>0</v>
      </c>
      <c r="AA223" s="38">
        <v>0</v>
      </c>
      <c r="AB223" s="38">
        <v>0</v>
      </c>
      <c r="AC223" s="38">
        <v>0</v>
      </c>
      <c r="AD223" s="32">
        <f t="shared" si="390"/>
        <v>0</v>
      </c>
    </row>
    <row r="224" spans="1:30" ht="21.75" customHeight="1">
      <c r="A224" s="57" t="s">
        <v>168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102"/>
      <c r="O224" s="102"/>
      <c r="P224" s="102"/>
      <c r="Q224" s="102"/>
      <c r="R224" s="102"/>
      <c r="S224" s="102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32">
        <f t="shared" si="390"/>
        <v>0</v>
      </c>
    </row>
    <row r="225" spans="1:30" ht="21.75" customHeight="1">
      <c r="A225" s="25">
        <v>74</v>
      </c>
      <c r="B225" s="28" t="s">
        <v>169</v>
      </c>
      <c r="C225" s="29" t="s">
        <v>170</v>
      </c>
      <c r="D225" s="30" t="s">
        <v>126</v>
      </c>
      <c r="E225" s="31">
        <f>F226</f>
        <v>52289.665999999997</v>
      </c>
      <c r="F225" s="32">
        <f>F226+F228+F227</f>
        <v>57339.885999999999</v>
      </c>
      <c r="G225" s="32">
        <f>G226+G228</f>
        <v>42760.775999999998</v>
      </c>
      <c r="H225" s="32">
        <f>H226+H228</f>
        <v>43063.826000000001</v>
      </c>
      <c r="I225" s="33">
        <f t="shared" ref="I225:I239" si="409">SUM(K225:O225)</f>
        <v>8926.0600000000013</v>
      </c>
      <c r="J225" s="32">
        <f t="shared" ref="J225:M225" si="410">J226+J228</f>
        <v>303.05</v>
      </c>
      <c r="K225" s="32">
        <f t="shared" si="410"/>
        <v>484.5</v>
      </c>
      <c r="L225" s="32">
        <f t="shared" si="410"/>
        <v>1968.55</v>
      </c>
      <c r="M225" s="32">
        <f t="shared" si="410"/>
        <v>2521.15</v>
      </c>
      <c r="N225" s="95">
        <f>N226+N227+N228</f>
        <v>552.35500000000002</v>
      </c>
      <c r="O225" s="95">
        <f t="shared" ref="O225:Q225" si="411">O226+O227+O228</f>
        <v>3399.5050000000001</v>
      </c>
      <c r="P225" s="95">
        <f t="shared" si="411"/>
        <v>2870.4949999999999</v>
      </c>
      <c r="Q225" s="95">
        <f t="shared" si="411"/>
        <v>2479.5050000000001</v>
      </c>
      <c r="R225" s="95">
        <v>0</v>
      </c>
      <c r="S225" s="95">
        <v>0</v>
      </c>
      <c r="T225" s="32">
        <v>0</v>
      </c>
      <c r="U225" s="32">
        <f t="shared" ref="U225:AC225" si="412">U226+U228</f>
        <v>0</v>
      </c>
      <c r="V225" s="32">
        <f t="shared" si="412"/>
        <v>0</v>
      </c>
      <c r="W225" s="32">
        <f t="shared" si="412"/>
        <v>0</v>
      </c>
      <c r="X225" s="32">
        <f t="shared" si="412"/>
        <v>0</v>
      </c>
      <c r="Y225" s="32">
        <f t="shared" si="412"/>
        <v>0</v>
      </c>
      <c r="Z225" s="32">
        <f t="shared" si="412"/>
        <v>0</v>
      </c>
      <c r="AA225" s="32">
        <f t="shared" si="412"/>
        <v>0</v>
      </c>
      <c r="AB225" s="32">
        <f t="shared" si="412"/>
        <v>0</v>
      </c>
      <c r="AC225" s="32">
        <f t="shared" si="412"/>
        <v>0</v>
      </c>
      <c r="AD225" s="32">
        <f t="shared" si="390"/>
        <v>5350</v>
      </c>
    </row>
    <row r="226" spans="1:30" ht="17.25" customHeight="1">
      <c r="A226" s="45"/>
      <c r="B226" s="13" t="s">
        <v>30</v>
      </c>
      <c r="C226" s="35"/>
      <c r="D226" s="36"/>
      <c r="E226" s="37"/>
      <c r="F226" s="38">
        <f>H226+I226+AD226</f>
        <v>52289.665999999997</v>
      </c>
      <c r="G226" s="39">
        <v>37710.555999999997</v>
      </c>
      <c r="H226" s="38">
        <v>38013.606</v>
      </c>
      <c r="I226" s="38">
        <f>SUM(K226:O226)</f>
        <v>8926.0600000000013</v>
      </c>
      <c r="J226" s="38">
        <v>303.05</v>
      </c>
      <c r="K226" s="38">
        <v>484.5</v>
      </c>
      <c r="L226" s="38">
        <v>1968.55</v>
      </c>
      <c r="M226" s="40">
        <f>3091.15-570</f>
        <v>2521.15</v>
      </c>
      <c r="N226" s="94">
        <v>552.35500000000002</v>
      </c>
      <c r="O226" s="94">
        <v>3399.5050000000001</v>
      </c>
      <c r="P226" s="94">
        <v>2870.4949999999999</v>
      </c>
      <c r="Q226" s="94">
        <f>160+2319.505</f>
        <v>2479.5050000000001</v>
      </c>
      <c r="R226" s="94">
        <v>0</v>
      </c>
      <c r="S226" s="94">
        <v>0</v>
      </c>
      <c r="T226" s="38">
        <v>0</v>
      </c>
      <c r="U226" s="38">
        <v>0</v>
      </c>
      <c r="V226" s="38">
        <v>0</v>
      </c>
      <c r="W226" s="38">
        <v>0</v>
      </c>
      <c r="X226" s="38">
        <v>0</v>
      </c>
      <c r="Y226" s="38">
        <v>0</v>
      </c>
      <c r="Z226" s="38">
        <v>0</v>
      </c>
      <c r="AA226" s="38">
        <v>0</v>
      </c>
      <c r="AB226" s="38">
        <v>0</v>
      </c>
      <c r="AC226" s="38">
        <v>0</v>
      </c>
      <c r="AD226" s="32">
        <f t="shared" si="390"/>
        <v>5350</v>
      </c>
    </row>
    <row r="227" spans="1:30" ht="17.25" customHeight="1">
      <c r="A227" s="45"/>
      <c r="B227" s="13" t="s">
        <v>38</v>
      </c>
      <c r="C227" s="35"/>
      <c r="D227" s="36"/>
      <c r="E227" s="37"/>
      <c r="F227" s="38">
        <f>H227+I227+AD227</f>
        <v>0</v>
      </c>
      <c r="G227" s="39"/>
      <c r="H227" s="38"/>
      <c r="I227" s="38">
        <f>SUM(K227:O227)</f>
        <v>0</v>
      </c>
      <c r="J227" s="38"/>
      <c r="K227" s="38"/>
      <c r="L227" s="38"/>
      <c r="M227" s="40"/>
      <c r="N227" s="94"/>
      <c r="O227" s="94"/>
      <c r="P227" s="94"/>
      <c r="Q227" s="94"/>
      <c r="R227" s="94"/>
      <c r="S227" s="94">
        <v>0</v>
      </c>
      <c r="T227" s="38"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2">
        <f t="shared" si="390"/>
        <v>0</v>
      </c>
    </row>
    <row r="228" spans="1:30" ht="17.25" customHeight="1">
      <c r="A228" s="45"/>
      <c r="B228" s="13" t="s">
        <v>70</v>
      </c>
      <c r="C228" s="35"/>
      <c r="D228" s="36"/>
      <c r="E228" s="37"/>
      <c r="F228" s="38">
        <f>H228+I228+AD228</f>
        <v>5050.22</v>
      </c>
      <c r="G228" s="39">
        <v>5050.22</v>
      </c>
      <c r="H228" s="38">
        <v>5050.22</v>
      </c>
      <c r="I228" s="38">
        <f t="shared" si="409"/>
        <v>0</v>
      </c>
      <c r="J228" s="38">
        <v>0</v>
      </c>
      <c r="K228" s="38">
        <v>0</v>
      </c>
      <c r="L228" s="38">
        <v>0</v>
      </c>
      <c r="M228" s="38">
        <v>0</v>
      </c>
      <c r="N228" s="94">
        <v>0</v>
      </c>
      <c r="O228" s="94">
        <v>0</v>
      </c>
      <c r="P228" s="94">
        <v>0</v>
      </c>
      <c r="Q228" s="94">
        <v>0</v>
      </c>
      <c r="R228" s="94">
        <v>0</v>
      </c>
      <c r="S228" s="94">
        <v>0</v>
      </c>
      <c r="T228" s="38">
        <v>0</v>
      </c>
      <c r="U228" s="38">
        <v>0</v>
      </c>
      <c r="V228" s="38">
        <v>0</v>
      </c>
      <c r="W228" s="38">
        <v>0</v>
      </c>
      <c r="X228" s="38">
        <v>0</v>
      </c>
      <c r="Y228" s="38">
        <v>0</v>
      </c>
      <c r="Z228" s="38">
        <v>0</v>
      </c>
      <c r="AA228" s="38">
        <v>0</v>
      </c>
      <c r="AB228" s="38">
        <v>0</v>
      </c>
      <c r="AC228" s="38">
        <v>0</v>
      </c>
      <c r="AD228" s="32">
        <f t="shared" si="390"/>
        <v>0</v>
      </c>
    </row>
    <row r="229" spans="1:30" ht="46.5" customHeight="1">
      <c r="A229" s="25">
        <v>75</v>
      </c>
      <c r="B229" s="28" t="s">
        <v>332</v>
      </c>
      <c r="C229" s="29" t="s">
        <v>289</v>
      </c>
      <c r="D229" s="30" t="s">
        <v>133</v>
      </c>
      <c r="E229" s="31">
        <f>F230</f>
        <v>4871.3509999999997</v>
      </c>
      <c r="F229" s="32">
        <f>F230+F231</f>
        <v>12465.589</v>
      </c>
      <c r="G229" s="32">
        <f>G230+G231</f>
        <v>0</v>
      </c>
      <c r="H229" s="32">
        <f>H230+H231</f>
        <v>0</v>
      </c>
      <c r="I229" s="33">
        <f t="shared" ref="I229:I231" si="413">SUM(K229:O229)</f>
        <v>12465.589</v>
      </c>
      <c r="J229" s="32">
        <f t="shared" ref="J229:M229" si="414">J230+J231</f>
        <v>0</v>
      </c>
      <c r="K229" s="32">
        <f t="shared" si="414"/>
        <v>0</v>
      </c>
      <c r="L229" s="32">
        <f t="shared" si="414"/>
        <v>0</v>
      </c>
      <c r="M229" s="32">
        <f t="shared" si="414"/>
        <v>0</v>
      </c>
      <c r="N229" s="95">
        <f>N230+N231</f>
        <v>4871.6320000000005</v>
      </c>
      <c r="O229" s="95">
        <f t="shared" ref="O229:Q229" si="415">O230+O231</f>
        <v>7593.9570000000003</v>
      </c>
      <c r="P229" s="95">
        <f t="shared" si="415"/>
        <v>0</v>
      </c>
      <c r="Q229" s="95">
        <f t="shared" si="415"/>
        <v>0</v>
      </c>
      <c r="R229" s="95">
        <v>0</v>
      </c>
      <c r="S229" s="95">
        <v>0</v>
      </c>
      <c r="T229" s="32">
        <v>0</v>
      </c>
      <c r="U229" s="32">
        <f t="shared" ref="U229:AC229" si="416">U230+U231</f>
        <v>0</v>
      </c>
      <c r="V229" s="32">
        <f t="shared" si="416"/>
        <v>0</v>
      </c>
      <c r="W229" s="32">
        <f t="shared" si="416"/>
        <v>0</v>
      </c>
      <c r="X229" s="32">
        <f t="shared" si="416"/>
        <v>0</v>
      </c>
      <c r="Y229" s="32">
        <f t="shared" si="416"/>
        <v>0</v>
      </c>
      <c r="Z229" s="32">
        <f t="shared" si="416"/>
        <v>0</v>
      </c>
      <c r="AA229" s="32">
        <f t="shared" si="416"/>
        <v>0</v>
      </c>
      <c r="AB229" s="32">
        <f t="shared" si="416"/>
        <v>0</v>
      </c>
      <c r="AC229" s="32">
        <f t="shared" si="416"/>
        <v>0</v>
      </c>
      <c r="AD229" s="32">
        <f t="shared" si="390"/>
        <v>0</v>
      </c>
    </row>
    <row r="230" spans="1:30" ht="17.25" customHeight="1">
      <c r="A230" s="45"/>
      <c r="B230" s="13" t="s">
        <v>30</v>
      </c>
      <c r="C230" s="35"/>
      <c r="D230" s="36"/>
      <c r="E230" s="37"/>
      <c r="F230" s="38">
        <f>H230+I230+AD230</f>
        <v>4871.3509999999997</v>
      </c>
      <c r="G230" s="39">
        <v>0</v>
      </c>
      <c r="H230" s="38">
        <v>0</v>
      </c>
      <c r="I230" s="38">
        <f t="shared" si="413"/>
        <v>4871.3509999999997</v>
      </c>
      <c r="J230" s="38">
        <v>0</v>
      </c>
      <c r="K230" s="38">
        <v>0</v>
      </c>
      <c r="L230" s="38">
        <v>0</v>
      </c>
      <c r="M230" s="40">
        <v>0</v>
      </c>
      <c r="N230" s="93">
        <v>1698.4480000000001</v>
      </c>
      <c r="O230" s="97">
        <v>3172.9029999999998</v>
      </c>
      <c r="P230" s="94">
        <v>0</v>
      </c>
      <c r="Q230" s="94">
        <v>0</v>
      </c>
      <c r="R230" s="94">
        <v>0</v>
      </c>
      <c r="S230" s="94">
        <v>0</v>
      </c>
      <c r="T230" s="38">
        <v>0</v>
      </c>
      <c r="U230" s="38">
        <v>0</v>
      </c>
      <c r="V230" s="38">
        <v>0</v>
      </c>
      <c r="W230" s="38">
        <v>0</v>
      </c>
      <c r="X230" s="38">
        <v>0</v>
      </c>
      <c r="Y230" s="38">
        <v>0</v>
      </c>
      <c r="Z230" s="38">
        <v>0</v>
      </c>
      <c r="AA230" s="38">
        <v>0</v>
      </c>
      <c r="AB230" s="38">
        <v>0</v>
      </c>
      <c r="AC230" s="38">
        <v>0</v>
      </c>
      <c r="AD230" s="32">
        <f t="shared" si="390"/>
        <v>0</v>
      </c>
    </row>
    <row r="231" spans="1:30" ht="17.25" customHeight="1">
      <c r="A231" s="45"/>
      <c r="B231" s="43" t="s">
        <v>38</v>
      </c>
      <c r="C231" s="35"/>
      <c r="D231" s="36"/>
      <c r="E231" s="37"/>
      <c r="F231" s="38">
        <f>H231+I231+AD231</f>
        <v>7594.2380000000003</v>
      </c>
      <c r="G231" s="39">
        <v>0</v>
      </c>
      <c r="H231" s="38">
        <v>0</v>
      </c>
      <c r="I231" s="38">
        <f t="shared" si="413"/>
        <v>7594.2380000000003</v>
      </c>
      <c r="J231" s="38">
        <v>0</v>
      </c>
      <c r="K231" s="38">
        <v>0</v>
      </c>
      <c r="L231" s="38">
        <v>0</v>
      </c>
      <c r="M231" s="38">
        <v>0</v>
      </c>
      <c r="N231" s="93">
        <v>3173.1840000000002</v>
      </c>
      <c r="O231" s="97">
        <v>4421.0540000000001</v>
      </c>
      <c r="P231" s="94">
        <v>0</v>
      </c>
      <c r="Q231" s="94">
        <v>0</v>
      </c>
      <c r="R231" s="94">
        <v>0</v>
      </c>
      <c r="S231" s="94">
        <v>0</v>
      </c>
      <c r="T231" s="38">
        <v>0</v>
      </c>
      <c r="U231" s="38">
        <v>0</v>
      </c>
      <c r="V231" s="38">
        <v>0</v>
      </c>
      <c r="W231" s="38">
        <v>0</v>
      </c>
      <c r="X231" s="38">
        <v>0</v>
      </c>
      <c r="Y231" s="38">
        <v>0</v>
      </c>
      <c r="Z231" s="38">
        <v>0</v>
      </c>
      <c r="AA231" s="38">
        <v>0</v>
      </c>
      <c r="AB231" s="38">
        <v>0</v>
      </c>
      <c r="AC231" s="38">
        <v>0</v>
      </c>
      <c r="AD231" s="32">
        <f t="shared" si="390"/>
        <v>0</v>
      </c>
    </row>
    <row r="232" spans="1:30" ht="30.75" customHeight="1">
      <c r="A232" s="25">
        <v>76</v>
      </c>
      <c r="B232" s="28" t="s">
        <v>306</v>
      </c>
      <c r="C232" s="29" t="s">
        <v>293</v>
      </c>
      <c r="D232" s="30" t="s">
        <v>182</v>
      </c>
      <c r="E232" s="31">
        <f>F233</f>
        <v>3673.3940000000002</v>
      </c>
      <c r="F232" s="32">
        <f>F233+F234</f>
        <v>7099.2780000000002</v>
      </c>
      <c r="G232" s="32">
        <f>G233+G234</f>
        <v>0</v>
      </c>
      <c r="H232" s="32">
        <f>H233+H234</f>
        <v>0</v>
      </c>
      <c r="I232" s="33">
        <f t="shared" ref="I232:I234" si="417">SUM(K232:O232)</f>
        <v>7099.2779999999993</v>
      </c>
      <c r="J232" s="32">
        <f t="shared" ref="J232:M232" si="418">J233+J234</f>
        <v>0</v>
      </c>
      <c r="K232" s="32">
        <f t="shared" si="418"/>
        <v>0</v>
      </c>
      <c r="L232" s="32">
        <f t="shared" si="418"/>
        <v>0</v>
      </c>
      <c r="M232" s="32">
        <f t="shared" si="418"/>
        <v>0</v>
      </c>
      <c r="N232" s="95">
        <f>N233+N234</f>
        <v>4275.3369999999995</v>
      </c>
      <c r="O232" s="95">
        <f t="shared" ref="O232:Q232" si="419">O233+O234</f>
        <v>2823.9409999999998</v>
      </c>
      <c r="P232" s="95">
        <f t="shared" si="419"/>
        <v>0</v>
      </c>
      <c r="Q232" s="95">
        <f t="shared" si="419"/>
        <v>0</v>
      </c>
      <c r="R232" s="95">
        <v>0</v>
      </c>
      <c r="S232" s="95">
        <v>0</v>
      </c>
      <c r="T232" s="32">
        <v>0</v>
      </c>
      <c r="U232" s="32">
        <f t="shared" ref="U232:AC232" si="420">U233+U234</f>
        <v>0</v>
      </c>
      <c r="V232" s="32">
        <f t="shared" si="420"/>
        <v>0</v>
      </c>
      <c r="W232" s="32">
        <f t="shared" si="420"/>
        <v>0</v>
      </c>
      <c r="X232" s="32">
        <f t="shared" si="420"/>
        <v>0</v>
      </c>
      <c r="Y232" s="32">
        <f t="shared" si="420"/>
        <v>0</v>
      </c>
      <c r="Z232" s="32">
        <f t="shared" si="420"/>
        <v>0</v>
      </c>
      <c r="AA232" s="32">
        <f t="shared" si="420"/>
        <v>0</v>
      </c>
      <c r="AB232" s="32">
        <f t="shared" si="420"/>
        <v>0</v>
      </c>
      <c r="AC232" s="32">
        <f t="shared" si="420"/>
        <v>0</v>
      </c>
      <c r="AD232" s="32">
        <f t="shared" si="390"/>
        <v>0</v>
      </c>
    </row>
    <row r="233" spans="1:30" ht="17.25" customHeight="1">
      <c r="A233" s="45"/>
      <c r="B233" s="13" t="s">
        <v>30</v>
      </c>
      <c r="C233" s="35"/>
      <c r="D233" s="36"/>
      <c r="E233" s="37"/>
      <c r="F233" s="38">
        <f>H233+I233+AD233</f>
        <v>3673.3940000000002</v>
      </c>
      <c r="G233" s="39">
        <v>0</v>
      </c>
      <c r="H233" s="38">
        <v>0</v>
      </c>
      <c r="I233" s="38">
        <f t="shared" si="417"/>
        <v>3673.3940000000002</v>
      </c>
      <c r="J233" s="38">
        <v>0</v>
      </c>
      <c r="K233" s="38">
        <v>0</v>
      </c>
      <c r="L233" s="38">
        <v>0</v>
      </c>
      <c r="M233" s="40">
        <v>0</v>
      </c>
      <c r="N233" s="93">
        <v>1990.4589999999998</v>
      </c>
      <c r="O233" s="97">
        <v>1682.9350000000002</v>
      </c>
      <c r="P233" s="94">
        <v>0</v>
      </c>
      <c r="Q233" s="94">
        <v>0</v>
      </c>
      <c r="R233" s="94">
        <v>0</v>
      </c>
      <c r="S233" s="94">
        <v>0</v>
      </c>
      <c r="T233" s="38">
        <v>0</v>
      </c>
      <c r="U233" s="38">
        <v>0</v>
      </c>
      <c r="V233" s="38">
        <v>0</v>
      </c>
      <c r="W233" s="38">
        <v>0</v>
      </c>
      <c r="X233" s="38">
        <v>0</v>
      </c>
      <c r="Y233" s="38">
        <v>0</v>
      </c>
      <c r="Z233" s="38">
        <v>0</v>
      </c>
      <c r="AA233" s="38">
        <v>0</v>
      </c>
      <c r="AB233" s="38">
        <v>0</v>
      </c>
      <c r="AC233" s="38">
        <v>0</v>
      </c>
      <c r="AD233" s="32">
        <f t="shared" si="390"/>
        <v>0</v>
      </c>
    </row>
    <row r="234" spans="1:30" ht="17.25" customHeight="1">
      <c r="A234" s="45"/>
      <c r="B234" s="43" t="s">
        <v>38</v>
      </c>
      <c r="C234" s="35"/>
      <c r="D234" s="36"/>
      <c r="E234" s="37"/>
      <c r="F234" s="38">
        <f>H234+I234+AD234</f>
        <v>3425.884</v>
      </c>
      <c r="G234" s="39">
        <v>0</v>
      </c>
      <c r="H234" s="38">
        <v>0</v>
      </c>
      <c r="I234" s="38">
        <f t="shared" si="417"/>
        <v>3425.884</v>
      </c>
      <c r="J234" s="38">
        <v>0</v>
      </c>
      <c r="K234" s="38">
        <v>0</v>
      </c>
      <c r="L234" s="38">
        <v>0</v>
      </c>
      <c r="M234" s="38">
        <v>0</v>
      </c>
      <c r="N234" s="93">
        <v>2284.8780000000002</v>
      </c>
      <c r="O234" s="97">
        <v>1141.0059999999999</v>
      </c>
      <c r="P234" s="94">
        <v>0</v>
      </c>
      <c r="Q234" s="94">
        <v>0</v>
      </c>
      <c r="R234" s="94">
        <v>0</v>
      </c>
      <c r="S234" s="94">
        <v>0</v>
      </c>
      <c r="T234" s="38">
        <v>0</v>
      </c>
      <c r="U234" s="38">
        <v>0</v>
      </c>
      <c r="V234" s="38">
        <v>0</v>
      </c>
      <c r="W234" s="38">
        <v>0</v>
      </c>
      <c r="X234" s="38">
        <v>0</v>
      </c>
      <c r="Y234" s="38">
        <v>0</v>
      </c>
      <c r="Z234" s="38">
        <v>0</v>
      </c>
      <c r="AA234" s="38">
        <v>0</v>
      </c>
      <c r="AB234" s="38">
        <v>0</v>
      </c>
      <c r="AC234" s="38">
        <v>0</v>
      </c>
      <c r="AD234" s="32">
        <f t="shared" si="390"/>
        <v>0</v>
      </c>
    </row>
    <row r="235" spans="1:30" ht="21.75" customHeight="1">
      <c r="A235" s="25">
        <v>76</v>
      </c>
      <c r="B235" s="123" t="s">
        <v>302</v>
      </c>
      <c r="C235" s="29" t="s">
        <v>299</v>
      </c>
      <c r="D235" s="30" t="s">
        <v>298</v>
      </c>
      <c r="E235" s="31">
        <f>F236</f>
        <v>73.420999999999992</v>
      </c>
      <c r="F235" s="32">
        <f>F236+F237</f>
        <v>585</v>
      </c>
      <c r="G235" s="32">
        <f>G236+G237</f>
        <v>0</v>
      </c>
      <c r="H235" s="32">
        <f>H236+H237</f>
        <v>0</v>
      </c>
      <c r="I235" s="33">
        <f t="shared" ref="I235:I237" si="421">SUM(K235:O235)</f>
        <v>570</v>
      </c>
      <c r="J235" s="32">
        <f t="shared" ref="J235:M235" si="422">J236+J237</f>
        <v>0</v>
      </c>
      <c r="K235" s="32">
        <f t="shared" si="422"/>
        <v>0</v>
      </c>
      <c r="L235" s="32">
        <f t="shared" si="422"/>
        <v>0</v>
      </c>
      <c r="M235" s="32">
        <f t="shared" si="422"/>
        <v>0</v>
      </c>
      <c r="N235" s="95">
        <f>N236+N237</f>
        <v>0</v>
      </c>
      <c r="O235" s="95">
        <f t="shared" ref="O235:Q235" si="423">O236+O237</f>
        <v>570</v>
      </c>
      <c r="P235" s="95">
        <f t="shared" si="423"/>
        <v>15</v>
      </c>
      <c r="Q235" s="95">
        <f t="shared" si="423"/>
        <v>0</v>
      </c>
      <c r="R235" s="95">
        <v>0</v>
      </c>
      <c r="S235" s="95">
        <v>0</v>
      </c>
      <c r="T235" s="32">
        <v>0</v>
      </c>
      <c r="U235" s="32">
        <f t="shared" ref="U235:AC235" si="424">U236+U237</f>
        <v>0</v>
      </c>
      <c r="V235" s="32">
        <f t="shared" si="424"/>
        <v>0</v>
      </c>
      <c r="W235" s="32">
        <f t="shared" si="424"/>
        <v>0</v>
      </c>
      <c r="X235" s="32">
        <f t="shared" si="424"/>
        <v>0</v>
      </c>
      <c r="Y235" s="32">
        <f t="shared" si="424"/>
        <v>0</v>
      </c>
      <c r="Z235" s="32">
        <f t="shared" si="424"/>
        <v>0</v>
      </c>
      <c r="AA235" s="32">
        <f t="shared" si="424"/>
        <v>0</v>
      </c>
      <c r="AB235" s="32">
        <f t="shared" si="424"/>
        <v>0</v>
      </c>
      <c r="AC235" s="32">
        <f t="shared" si="424"/>
        <v>0</v>
      </c>
      <c r="AD235" s="32">
        <f t="shared" si="390"/>
        <v>15</v>
      </c>
    </row>
    <row r="236" spans="1:30" ht="17.25" customHeight="1">
      <c r="A236" s="45"/>
      <c r="B236" s="13" t="s">
        <v>30</v>
      </c>
      <c r="C236" s="35"/>
      <c r="D236" s="36"/>
      <c r="E236" s="37"/>
      <c r="F236" s="38">
        <f>H236+I236+AD236</f>
        <v>73.420999999999992</v>
      </c>
      <c r="G236" s="39">
        <v>0</v>
      </c>
      <c r="H236" s="38">
        <v>0</v>
      </c>
      <c r="I236" s="38">
        <f t="shared" si="421"/>
        <v>60</v>
      </c>
      <c r="J236" s="38">
        <v>0</v>
      </c>
      <c r="K236" s="38">
        <v>0</v>
      </c>
      <c r="L236" s="38">
        <v>0</v>
      </c>
      <c r="M236" s="40">
        <v>0</v>
      </c>
      <c r="N236" s="94">
        <v>0</v>
      </c>
      <c r="O236" s="94">
        <v>60</v>
      </c>
      <c r="P236" s="94">
        <v>13.420999999999999</v>
      </c>
      <c r="Q236" s="94">
        <v>0</v>
      </c>
      <c r="R236" s="94">
        <v>0</v>
      </c>
      <c r="S236" s="94">
        <v>0</v>
      </c>
      <c r="T236" s="38">
        <v>0</v>
      </c>
      <c r="U236" s="38">
        <v>0</v>
      </c>
      <c r="V236" s="38">
        <v>0</v>
      </c>
      <c r="W236" s="38">
        <v>0</v>
      </c>
      <c r="X236" s="38">
        <v>0</v>
      </c>
      <c r="Y236" s="38">
        <v>0</v>
      </c>
      <c r="Z236" s="38">
        <v>0</v>
      </c>
      <c r="AA236" s="38">
        <v>0</v>
      </c>
      <c r="AB236" s="38">
        <v>0</v>
      </c>
      <c r="AC236" s="38">
        <v>0</v>
      </c>
      <c r="AD236" s="32">
        <f t="shared" si="390"/>
        <v>13.420999999999999</v>
      </c>
    </row>
    <row r="237" spans="1:30" ht="17.25" customHeight="1">
      <c r="A237" s="45"/>
      <c r="B237" s="43" t="s">
        <v>38</v>
      </c>
      <c r="C237" s="35"/>
      <c r="D237" s="36"/>
      <c r="E237" s="37"/>
      <c r="F237" s="38">
        <f>H237+I237+AD237</f>
        <v>511.57900000000001</v>
      </c>
      <c r="G237" s="39">
        <v>0</v>
      </c>
      <c r="H237" s="38">
        <v>0</v>
      </c>
      <c r="I237" s="38">
        <f t="shared" si="421"/>
        <v>510</v>
      </c>
      <c r="J237" s="38">
        <v>0</v>
      </c>
      <c r="K237" s="38">
        <v>0</v>
      </c>
      <c r="L237" s="38">
        <v>0</v>
      </c>
      <c r="M237" s="38">
        <v>0</v>
      </c>
      <c r="N237" s="94">
        <v>0</v>
      </c>
      <c r="O237" s="94">
        <v>510</v>
      </c>
      <c r="P237" s="94">
        <v>1.579</v>
      </c>
      <c r="Q237" s="94">
        <v>0</v>
      </c>
      <c r="R237" s="94">
        <v>0</v>
      </c>
      <c r="S237" s="94">
        <v>0</v>
      </c>
      <c r="T237" s="38">
        <v>0</v>
      </c>
      <c r="U237" s="38">
        <v>0</v>
      </c>
      <c r="V237" s="38">
        <v>0</v>
      </c>
      <c r="W237" s="38">
        <v>0</v>
      </c>
      <c r="X237" s="38">
        <v>0</v>
      </c>
      <c r="Y237" s="38">
        <v>0</v>
      </c>
      <c r="Z237" s="38">
        <v>0</v>
      </c>
      <c r="AA237" s="38">
        <v>0</v>
      </c>
      <c r="AB237" s="38">
        <v>0</v>
      </c>
      <c r="AC237" s="38">
        <v>0</v>
      </c>
      <c r="AD237" s="32">
        <f t="shared" si="390"/>
        <v>1.579</v>
      </c>
    </row>
    <row r="238" spans="1:30" ht="21.75" customHeight="1">
      <c r="A238" s="25">
        <v>77</v>
      </c>
      <c r="B238" s="28" t="s">
        <v>171</v>
      </c>
      <c r="C238" s="29" t="s">
        <v>172</v>
      </c>
      <c r="D238" s="30" t="s">
        <v>173</v>
      </c>
      <c r="E238" s="31">
        <f>F239</f>
        <v>13827.289000000001</v>
      </c>
      <c r="F238" s="32">
        <v>15030.009</v>
      </c>
      <c r="G238" s="33">
        <f>G239</f>
        <v>181.80099999999999</v>
      </c>
      <c r="H238" s="33">
        <f>H239</f>
        <v>997.32500000000005</v>
      </c>
      <c r="I238" s="33">
        <f t="shared" si="409"/>
        <v>9746.6729999999989</v>
      </c>
      <c r="J238" s="32">
        <f>J239</f>
        <v>815.524</v>
      </c>
      <c r="K238" s="32">
        <f t="shared" ref="K238:M238" si="425">K239</f>
        <v>2600</v>
      </c>
      <c r="L238" s="32">
        <f t="shared" si="425"/>
        <v>1494.444</v>
      </c>
      <c r="M238" s="32">
        <f t="shared" si="425"/>
        <v>692.88900000000001</v>
      </c>
      <c r="N238" s="95">
        <f>N239</f>
        <v>352.94299999999998</v>
      </c>
      <c r="O238" s="95">
        <f t="shared" ref="O238:Q238" si="426">O239</f>
        <v>4606.3969999999999</v>
      </c>
      <c r="P238" s="95">
        <f t="shared" si="426"/>
        <v>3083.2910000000002</v>
      </c>
      <c r="Q238" s="95">
        <f t="shared" si="426"/>
        <v>0</v>
      </c>
      <c r="R238" s="95">
        <v>0</v>
      </c>
      <c r="S238" s="95">
        <v>0</v>
      </c>
      <c r="T238" s="32">
        <v>0</v>
      </c>
      <c r="U238" s="32">
        <f t="shared" ref="U238:AC238" si="427">U239</f>
        <v>0</v>
      </c>
      <c r="V238" s="32">
        <f t="shared" si="427"/>
        <v>0</v>
      </c>
      <c r="W238" s="32">
        <f t="shared" si="427"/>
        <v>0</v>
      </c>
      <c r="X238" s="32">
        <f t="shared" si="427"/>
        <v>0</v>
      </c>
      <c r="Y238" s="32">
        <f t="shared" si="427"/>
        <v>0</v>
      </c>
      <c r="Z238" s="32">
        <f t="shared" si="427"/>
        <v>0</v>
      </c>
      <c r="AA238" s="32">
        <f t="shared" si="427"/>
        <v>0</v>
      </c>
      <c r="AB238" s="32">
        <f t="shared" si="427"/>
        <v>0</v>
      </c>
      <c r="AC238" s="32">
        <f t="shared" si="427"/>
        <v>0</v>
      </c>
      <c r="AD238" s="32">
        <f t="shared" si="390"/>
        <v>3083.2910000000002</v>
      </c>
    </row>
    <row r="239" spans="1:30" ht="17.25" customHeight="1">
      <c r="A239" s="45"/>
      <c r="B239" s="13" t="s">
        <v>30</v>
      </c>
      <c r="C239" s="35"/>
      <c r="D239" s="36"/>
      <c r="E239" s="37"/>
      <c r="F239" s="38">
        <f>H239+I239+AD239</f>
        <v>13827.289000000001</v>
      </c>
      <c r="G239" s="39">
        <v>181.80099999999999</v>
      </c>
      <c r="H239" s="38">
        <v>997.32500000000005</v>
      </c>
      <c r="I239" s="38">
        <f t="shared" si="409"/>
        <v>9746.6729999999989</v>
      </c>
      <c r="J239" s="38">
        <v>815.524</v>
      </c>
      <c r="K239" s="38">
        <v>2600</v>
      </c>
      <c r="L239" s="38">
        <v>1494.444</v>
      </c>
      <c r="M239" s="40">
        <f>946.24-253.351</f>
        <v>692.88900000000001</v>
      </c>
      <c r="N239" s="93">
        <v>352.94299999999998</v>
      </c>
      <c r="O239" s="94">
        <v>4606.3969999999999</v>
      </c>
      <c r="P239" s="94">
        <v>3083.2910000000002</v>
      </c>
      <c r="Q239" s="94">
        <v>0</v>
      </c>
      <c r="R239" s="94">
        <v>0</v>
      </c>
      <c r="S239" s="94">
        <v>0</v>
      </c>
      <c r="T239" s="38">
        <v>0</v>
      </c>
      <c r="U239" s="38">
        <v>0</v>
      </c>
      <c r="V239" s="38">
        <v>0</v>
      </c>
      <c r="W239" s="38">
        <v>0</v>
      </c>
      <c r="X239" s="38">
        <v>0</v>
      </c>
      <c r="Y239" s="38">
        <v>0</v>
      </c>
      <c r="Z239" s="38">
        <v>0</v>
      </c>
      <c r="AA239" s="38">
        <v>0</v>
      </c>
      <c r="AB239" s="38">
        <v>0</v>
      </c>
      <c r="AC239" s="38">
        <v>0</v>
      </c>
      <c r="AD239" s="32">
        <f t="shared" si="390"/>
        <v>3083.2910000000002</v>
      </c>
    </row>
    <row r="240" spans="1:30" ht="21.75" customHeight="1">
      <c r="A240" s="134" t="s">
        <v>174</v>
      </c>
      <c r="B240" s="13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110"/>
      <c r="O240" s="110"/>
      <c r="P240" s="110"/>
      <c r="Q240" s="110"/>
      <c r="R240" s="110"/>
      <c r="S240" s="110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32">
        <f t="shared" si="390"/>
        <v>0</v>
      </c>
    </row>
    <row r="241" spans="1:182" ht="21.75" customHeight="1">
      <c r="A241" s="25">
        <v>78</v>
      </c>
      <c r="B241" s="42" t="s">
        <v>175</v>
      </c>
      <c r="C241" s="29" t="s">
        <v>271</v>
      </c>
      <c r="D241" s="30" t="s">
        <v>158</v>
      </c>
      <c r="E241" s="31">
        <f>F242</f>
        <v>74108.933000000005</v>
      </c>
      <c r="F241" s="32">
        <v>68382.203000000009</v>
      </c>
      <c r="G241" s="33">
        <f>G242</f>
        <v>28364.203000000001</v>
      </c>
      <c r="H241" s="33">
        <f>H242</f>
        <v>30139.203000000001</v>
      </c>
      <c r="I241" s="33">
        <f>SUM(K241:O241)</f>
        <v>18939.73</v>
      </c>
      <c r="J241" s="32">
        <f>J242</f>
        <v>1775</v>
      </c>
      <c r="K241" s="32">
        <f t="shared" ref="K241:Q241" si="428">K242</f>
        <v>4098</v>
      </c>
      <c r="L241" s="32">
        <f t="shared" si="428"/>
        <v>4000</v>
      </c>
      <c r="M241" s="32">
        <f t="shared" si="428"/>
        <v>4616.49</v>
      </c>
      <c r="N241" s="95">
        <f t="shared" si="428"/>
        <v>389.61</v>
      </c>
      <c r="O241" s="95">
        <f t="shared" si="428"/>
        <v>5835.63</v>
      </c>
      <c r="P241" s="95">
        <f t="shared" si="428"/>
        <v>13340</v>
      </c>
      <c r="Q241" s="95">
        <f t="shared" si="428"/>
        <v>6990</v>
      </c>
      <c r="R241" s="95">
        <f>SUM(S241:AC241)</f>
        <v>4700</v>
      </c>
      <c r="S241" s="95">
        <f>S242</f>
        <v>4700</v>
      </c>
      <c r="T241" s="32">
        <f t="shared" ref="T241:AC241" si="429">T242</f>
        <v>0</v>
      </c>
      <c r="U241" s="32">
        <f t="shared" si="429"/>
        <v>0</v>
      </c>
      <c r="V241" s="32">
        <f t="shared" si="429"/>
        <v>0</v>
      </c>
      <c r="W241" s="32">
        <f t="shared" si="429"/>
        <v>0</v>
      </c>
      <c r="X241" s="32">
        <f t="shared" si="429"/>
        <v>0</v>
      </c>
      <c r="Y241" s="32">
        <f t="shared" si="429"/>
        <v>0</v>
      </c>
      <c r="Z241" s="32">
        <f t="shared" si="429"/>
        <v>0</v>
      </c>
      <c r="AA241" s="32">
        <f t="shared" si="429"/>
        <v>0</v>
      </c>
      <c r="AB241" s="32">
        <f t="shared" si="429"/>
        <v>0</v>
      </c>
      <c r="AC241" s="32">
        <f t="shared" si="429"/>
        <v>0</v>
      </c>
      <c r="AD241" s="32">
        <f t="shared" si="390"/>
        <v>25030</v>
      </c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</row>
    <row r="242" spans="1:182" ht="17.25" customHeight="1">
      <c r="A242" s="45"/>
      <c r="B242" s="13" t="s">
        <v>30</v>
      </c>
      <c r="C242" s="35"/>
      <c r="D242" s="36"/>
      <c r="E242" s="37"/>
      <c r="F242" s="38">
        <f>H242+I242+AD242</f>
        <v>74108.933000000005</v>
      </c>
      <c r="G242" s="39">
        <v>28364.203000000001</v>
      </c>
      <c r="H242" s="38">
        <v>30139.203000000001</v>
      </c>
      <c r="I242" s="38">
        <f>SUM(K242:O242)</f>
        <v>18939.73</v>
      </c>
      <c r="J242" s="38">
        <v>1775</v>
      </c>
      <c r="K242" s="38">
        <v>4098</v>
      </c>
      <c r="L242" s="38">
        <v>4000</v>
      </c>
      <c r="M242" s="40">
        <f>4730-113.51</f>
        <v>4616.49</v>
      </c>
      <c r="N242" s="93">
        <v>389.61</v>
      </c>
      <c r="O242" s="94">
        <v>5835.63</v>
      </c>
      <c r="P242" s="94">
        <v>13340</v>
      </c>
      <c r="Q242" s="94">
        <v>6990</v>
      </c>
      <c r="R242" s="94">
        <v>4700</v>
      </c>
      <c r="S242" s="94">
        <v>4700</v>
      </c>
      <c r="T242" s="38">
        <f>'[3]Programy PROJEKT'!X565+'[3]Programy PROJEKT'!Y565</f>
        <v>0</v>
      </c>
      <c r="U242" s="38">
        <f>'[3]Programy PROJEKT'!AA565+'[3]Programy PROJEKT'!AB565</f>
        <v>0</v>
      </c>
      <c r="V242" s="38">
        <v>0</v>
      </c>
      <c r="W242" s="38">
        <v>0</v>
      </c>
      <c r="X242" s="38">
        <v>0</v>
      </c>
      <c r="Y242" s="38">
        <v>0</v>
      </c>
      <c r="Z242" s="38">
        <v>0</v>
      </c>
      <c r="AA242" s="38">
        <v>0</v>
      </c>
      <c r="AB242" s="38">
        <v>0</v>
      </c>
      <c r="AC242" s="38">
        <v>0</v>
      </c>
      <c r="AD242" s="32">
        <f t="shared" si="390"/>
        <v>25030</v>
      </c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</row>
    <row r="243" spans="1:182" ht="21.75" customHeight="1">
      <c r="A243" s="57" t="s">
        <v>176</v>
      </c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108"/>
      <c r="O243" s="108"/>
      <c r="P243" s="108"/>
      <c r="Q243" s="108"/>
      <c r="R243" s="108"/>
      <c r="S243" s="108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32">
        <f t="shared" si="390"/>
        <v>0</v>
      </c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</row>
    <row r="244" spans="1:182" ht="45" customHeight="1">
      <c r="A244" s="25">
        <v>79</v>
      </c>
      <c r="B244" s="42" t="s">
        <v>245</v>
      </c>
      <c r="C244" s="29" t="s">
        <v>246</v>
      </c>
      <c r="D244" s="30" t="s">
        <v>83</v>
      </c>
      <c r="E244" s="31">
        <f>F245</f>
        <v>158.602</v>
      </c>
      <c r="F244" s="32">
        <f>F245</f>
        <v>158.602</v>
      </c>
      <c r="G244" s="33">
        <f>G245</f>
        <v>0</v>
      </c>
      <c r="H244" s="33">
        <f>H245</f>
        <v>0</v>
      </c>
      <c r="I244" s="33">
        <f t="shared" ref="I244:I251" si="430">SUM(K244:O244)</f>
        <v>158.602</v>
      </c>
      <c r="J244" s="32">
        <f>J245</f>
        <v>0</v>
      </c>
      <c r="K244" s="32">
        <f t="shared" ref="K244:AD244" si="431">K245</f>
        <v>0</v>
      </c>
      <c r="L244" s="32">
        <f t="shared" si="431"/>
        <v>0</v>
      </c>
      <c r="M244" s="32">
        <f t="shared" si="431"/>
        <v>150.976</v>
      </c>
      <c r="N244" s="95">
        <f>N245</f>
        <v>7.6260000000000048</v>
      </c>
      <c r="O244" s="95">
        <f t="shared" ref="O244:Q244" si="432">O245</f>
        <v>0</v>
      </c>
      <c r="P244" s="95">
        <f t="shared" si="432"/>
        <v>0</v>
      </c>
      <c r="Q244" s="95">
        <f t="shared" si="432"/>
        <v>0</v>
      </c>
      <c r="R244" s="95">
        <f t="shared" si="431"/>
        <v>0</v>
      </c>
      <c r="S244" s="95">
        <f t="shared" si="431"/>
        <v>0</v>
      </c>
      <c r="T244" s="32">
        <f t="shared" si="431"/>
        <v>0</v>
      </c>
      <c r="U244" s="32">
        <f t="shared" si="431"/>
        <v>0</v>
      </c>
      <c r="V244" s="32">
        <f t="shared" si="431"/>
        <v>0</v>
      </c>
      <c r="W244" s="32">
        <f t="shared" si="431"/>
        <v>0</v>
      </c>
      <c r="X244" s="32">
        <f t="shared" si="431"/>
        <v>0</v>
      </c>
      <c r="Y244" s="32">
        <f t="shared" si="431"/>
        <v>0</v>
      </c>
      <c r="Z244" s="32">
        <f t="shared" si="431"/>
        <v>0</v>
      </c>
      <c r="AA244" s="32">
        <f t="shared" si="431"/>
        <v>0</v>
      </c>
      <c r="AB244" s="32">
        <f t="shared" si="431"/>
        <v>0</v>
      </c>
      <c r="AC244" s="32">
        <f t="shared" si="431"/>
        <v>0</v>
      </c>
      <c r="AD244" s="32">
        <f t="shared" si="431"/>
        <v>0</v>
      </c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</row>
    <row r="245" spans="1:182" ht="17.25" customHeight="1">
      <c r="A245" s="45"/>
      <c r="B245" s="13" t="s">
        <v>30</v>
      </c>
      <c r="C245" s="35"/>
      <c r="D245" s="36"/>
      <c r="E245" s="37"/>
      <c r="F245" s="38">
        <f>H245+I245+AD245</f>
        <v>158.602</v>
      </c>
      <c r="G245" s="39">
        <v>0</v>
      </c>
      <c r="H245" s="38">
        <v>0</v>
      </c>
      <c r="I245" s="38">
        <f t="shared" si="430"/>
        <v>158.602</v>
      </c>
      <c r="J245" s="38">
        <v>0</v>
      </c>
      <c r="K245" s="38">
        <v>0</v>
      </c>
      <c r="L245" s="38">
        <v>0</v>
      </c>
      <c r="M245" s="38">
        <v>150.976</v>
      </c>
      <c r="N245" s="94">
        <v>7.6260000000000048</v>
      </c>
      <c r="O245" s="94">
        <v>0</v>
      </c>
      <c r="P245" s="94">
        <v>0</v>
      </c>
      <c r="Q245" s="94">
        <v>0</v>
      </c>
      <c r="R245" s="94">
        <f t="shared" ref="R245" si="433">SUM(S245:AC245)</f>
        <v>0</v>
      </c>
      <c r="S245" s="94">
        <v>0</v>
      </c>
      <c r="T245" s="38">
        <v>0</v>
      </c>
      <c r="U245" s="38">
        <v>0</v>
      </c>
      <c r="V245" s="38">
        <v>0</v>
      </c>
      <c r="W245" s="38">
        <v>0</v>
      </c>
      <c r="X245" s="38">
        <v>0</v>
      </c>
      <c r="Y245" s="38">
        <v>0</v>
      </c>
      <c r="Z245" s="38">
        <v>0</v>
      </c>
      <c r="AA245" s="38">
        <v>0</v>
      </c>
      <c r="AB245" s="38">
        <v>0</v>
      </c>
      <c r="AC245" s="38">
        <v>0</v>
      </c>
      <c r="AD245" s="32">
        <f t="shared" ref="AD245:AD276" si="434">P245+Q245+R245</f>
        <v>0</v>
      </c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</row>
    <row r="246" spans="1:182" ht="30" customHeight="1">
      <c r="A246" s="25">
        <v>80</v>
      </c>
      <c r="B246" s="28" t="s">
        <v>177</v>
      </c>
      <c r="C246" s="29" t="s">
        <v>178</v>
      </c>
      <c r="D246" s="54" t="s">
        <v>81</v>
      </c>
      <c r="E246" s="31">
        <f>F247</f>
        <v>11.375000000000007</v>
      </c>
      <c r="F246" s="32">
        <f>F247+F248</f>
        <v>26.250000000000064</v>
      </c>
      <c r="G246" s="32">
        <f>G247+G248</f>
        <v>0</v>
      </c>
      <c r="H246" s="32">
        <f>H247+H248</f>
        <v>0</v>
      </c>
      <c r="I246" s="33">
        <f t="shared" si="430"/>
        <v>26.250000000000064</v>
      </c>
      <c r="J246" s="32">
        <f t="shared" ref="J246:M246" si="435">J247+J248</f>
        <v>0</v>
      </c>
      <c r="K246" s="32">
        <f t="shared" si="435"/>
        <v>0</v>
      </c>
      <c r="L246" s="32">
        <f t="shared" si="435"/>
        <v>0</v>
      </c>
      <c r="M246" s="32">
        <f t="shared" si="435"/>
        <v>17.500000000000064</v>
      </c>
      <c r="N246" s="95">
        <f>N247+N248</f>
        <v>8.75</v>
      </c>
      <c r="O246" s="95">
        <f t="shared" ref="O246:Q246" si="436">O247+O248</f>
        <v>0</v>
      </c>
      <c r="P246" s="95">
        <f t="shared" si="436"/>
        <v>0</v>
      </c>
      <c r="Q246" s="95">
        <f t="shared" si="436"/>
        <v>0</v>
      </c>
      <c r="R246" s="95">
        <f t="shared" ref="R246:R251" si="437">SUM(S246:AC246)</f>
        <v>0</v>
      </c>
      <c r="S246" s="95">
        <f>S247+S248</f>
        <v>0</v>
      </c>
      <c r="T246" s="32">
        <f t="shared" ref="T246:AC246" si="438">T247+T248</f>
        <v>0</v>
      </c>
      <c r="U246" s="32">
        <f t="shared" si="438"/>
        <v>0</v>
      </c>
      <c r="V246" s="32">
        <f t="shared" si="438"/>
        <v>0</v>
      </c>
      <c r="W246" s="32">
        <f t="shared" si="438"/>
        <v>0</v>
      </c>
      <c r="X246" s="32">
        <f t="shared" si="438"/>
        <v>0</v>
      </c>
      <c r="Y246" s="32">
        <f t="shared" si="438"/>
        <v>0</v>
      </c>
      <c r="Z246" s="32">
        <f t="shared" si="438"/>
        <v>0</v>
      </c>
      <c r="AA246" s="32">
        <f t="shared" si="438"/>
        <v>0</v>
      </c>
      <c r="AB246" s="32">
        <f t="shared" si="438"/>
        <v>0</v>
      </c>
      <c r="AC246" s="32">
        <f t="shared" si="438"/>
        <v>0</v>
      </c>
      <c r="AD246" s="32">
        <f t="shared" si="434"/>
        <v>0</v>
      </c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</row>
    <row r="247" spans="1:182" ht="17.25" customHeight="1">
      <c r="A247" s="34"/>
      <c r="B247" s="13" t="s">
        <v>30</v>
      </c>
      <c r="C247" s="38"/>
      <c r="D247" s="38"/>
      <c r="E247" s="38"/>
      <c r="F247" s="38">
        <f>H247+I247+AD247</f>
        <v>11.375000000000007</v>
      </c>
      <c r="G247" s="38">
        <v>0</v>
      </c>
      <c r="H247" s="38">
        <v>0</v>
      </c>
      <c r="I247" s="38">
        <f t="shared" si="430"/>
        <v>11.375000000000007</v>
      </c>
      <c r="J247" s="16">
        <v>0</v>
      </c>
      <c r="K247" s="16">
        <v>0</v>
      </c>
      <c r="L247" s="49">
        <v>0</v>
      </c>
      <c r="M247" s="17">
        <f>67.674-1.476-63.573</f>
        <v>2.6250000000000071</v>
      </c>
      <c r="N247" s="98">
        <v>8.75</v>
      </c>
      <c r="O247" s="98">
        <v>0</v>
      </c>
      <c r="P247" s="99">
        <v>0</v>
      </c>
      <c r="Q247" s="99">
        <v>0</v>
      </c>
      <c r="R247" s="94">
        <f t="shared" si="437"/>
        <v>0</v>
      </c>
      <c r="S247" s="99">
        <v>0</v>
      </c>
      <c r="T247" s="49">
        <v>0</v>
      </c>
      <c r="U247" s="49">
        <v>0</v>
      </c>
      <c r="V247" s="49">
        <v>0</v>
      </c>
      <c r="W247" s="49">
        <v>0</v>
      </c>
      <c r="X247" s="49">
        <v>0</v>
      </c>
      <c r="Y247" s="49">
        <v>0</v>
      </c>
      <c r="Z247" s="49">
        <v>0</v>
      </c>
      <c r="AA247" s="49">
        <v>0</v>
      </c>
      <c r="AB247" s="49">
        <v>0</v>
      </c>
      <c r="AC247" s="49">
        <v>0</v>
      </c>
      <c r="AD247" s="32">
        <f t="shared" si="434"/>
        <v>0</v>
      </c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</row>
    <row r="248" spans="1:182" ht="17.25" customHeight="1">
      <c r="A248" s="34"/>
      <c r="B248" s="43" t="s">
        <v>38</v>
      </c>
      <c r="C248" s="38"/>
      <c r="D248" s="38"/>
      <c r="E248" s="38"/>
      <c r="F248" s="38">
        <f>H248+I248+AD248</f>
        <v>14.875000000000057</v>
      </c>
      <c r="G248" s="38">
        <v>0</v>
      </c>
      <c r="H248" s="38">
        <v>0</v>
      </c>
      <c r="I248" s="38">
        <f t="shared" si="430"/>
        <v>14.875000000000057</v>
      </c>
      <c r="J248" s="16">
        <v>0</v>
      </c>
      <c r="K248" s="16">
        <v>0</v>
      </c>
      <c r="L248" s="49">
        <v>0</v>
      </c>
      <c r="M248" s="17">
        <f>383.49-8.364-360.251</f>
        <v>14.875000000000057</v>
      </c>
      <c r="N248" s="98">
        <v>0</v>
      </c>
      <c r="O248" s="98">
        <v>0</v>
      </c>
      <c r="P248" s="99">
        <v>0</v>
      </c>
      <c r="Q248" s="99">
        <v>0</v>
      </c>
      <c r="R248" s="94">
        <f t="shared" si="437"/>
        <v>0</v>
      </c>
      <c r="S248" s="99">
        <v>0</v>
      </c>
      <c r="T248" s="49">
        <v>0</v>
      </c>
      <c r="U248" s="49">
        <v>0</v>
      </c>
      <c r="V248" s="49">
        <v>0</v>
      </c>
      <c r="W248" s="49">
        <v>0</v>
      </c>
      <c r="X248" s="49">
        <v>0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32">
        <f t="shared" si="434"/>
        <v>0</v>
      </c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</row>
    <row r="249" spans="1:182" ht="28.5" customHeight="1">
      <c r="A249" s="25">
        <v>81</v>
      </c>
      <c r="B249" s="28" t="s">
        <v>304</v>
      </c>
      <c r="C249" s="29" t="s">
        <v>238</v>
      </c>
      <c r="D249" s="30" t="s">
        <v>84</v>
      </c>
      <c r="E249" s="31">
        <f>F250</f>
        <v>225.476</v>
      </c>
      <c r="F249" s="32">
        <f>F250+F251</f>
        <v>794.83800000000008</v>
      </c>
      <c r="G249" s="32">
        <f>G250+G251</f>
        <v>0</v>
      </c>
      <c r="H249" s="32">
        <f>H250+H251</f>
        <v>0</v>
      </c>
      <c r="I249" s="33">
        <f t="shared" si="430"/>
        <v>794.83799999999997</v>
      </c>
      <c r="J249" s="32">
        <f t="shared" ref="J249:M249" si="439">J250+J251</f>
        <v>0</v>
      </c>
      <c r="K249" s="32">
        <f t="shared" si="439"/>
        <v>0</v>
      </c>
      <c r="L249" s="32">
        <f t="shared" si="439"/>
        <v>0</v>
      </c>
      <c r="M249" s="32">
        <f t="shared" si="439"/>
        <v>0</v>
      </c>
      <c r="N249" s="95">
        <f>N250+N251</f>
        <v>453.37700000000001</v>
      </c>
      <c r="O249" s="95">
        <f t="shared" ref="O249:Q249" si="440">O250+O251</f>
        <v>341.46100000000001</v>
      </c>
      <c r="P249" s="95">
        <f t="shared" si="440"/>
        <v>0</v>
      </c>
      <c r="Q249" s="95">
        <f t="shared" si="440"/>
        <v>0</v>
      </c>
      <c r="R249" s="95">
        <f t="shared" si="437"/>
        <v>0</v>
      </c>
      <c r="S249" s="95">
        <f>S250+S251</f>
        <v>0</v>
      </c>
      <c r="T249" s="32">
        <f t="shared" ref="T249:AC249" si="441">T250+T251</f>
        <v>0</v>
      </c>
      <c r="U249" s="32">
        <f t="shared" si="441"/>
        <v>0</v>
      </c>
      <c r="V249" s="32">
        <f t="shared" si="441"/>
        <v>0</v>
      </c>
      <c r="W249" s="32">
        <f t="shared" si="441"/>
        <v>0</v>
      </c>
      <c r="X249" s="32">
        <f t="shared" si="441"/>
        <v>0</v>
      </c>
      <c r="Y249" s="32">
        <f t="shared" si="441"/>
        <v>0</v>
      </c>
      <c r="Z249" s="32">
        <f t="shared" si="441"/>
        <v>0</v>
      </c>
      <c r="AA249" s="32">
        <f t="shared" si="441"/>
        <v>0</v>
      </c>
      <c r="AB249" s="32">
        <f t="shared" si="441"/>
        <v>0</v>
      </c>
      <c r="AC249" s="32">
        <f t="shared" si="441"/>
        <v>0</v>
      </c>
      <c r="AD249" s="32">
        <f t="shared" si="434"/>
        <v>0</v>
      </c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</row>
    <row r="250" spans="1:182" ht="17.25" customHeight="1">
      <c r="A250" s="45"/>
      <c r="B250" s="13" t="s">
        <v>30</v>
      </c>
      <c r="C250" s="35"/>
      <c r="D250" s="36"/>
      <c r="E250" s="37"/>
      <c r="F250" s="38">
        <f>H250+I250+AD250</f>
        <v>225.476</v>
      </c>
      <c r="G250" s="39">
        <v>0</v>
      </c>
      <c r="H250" s="38">
        <v>0</v>
      </c>
      <c r="I250" s="38">
        <f t="shared" si="430"/>
        <v>225.476</v>
      </c>
      <c r="J250" s="38">
        <v>0</v>
      </c>
      <c r="K250" s="16">
        <v>0</v>
      </c>
      <c r="L250" s="38">
        <v>0</v>
      </c>
      <c r="M250" s="40">
        <f>0.375-0.375</f>
        <v>0</v>
      </c>
      <c r="N250" s="93">
        <v>68.007000000000005</v>
      </c>
      <c r="O250" s="97">
        <v>157.46899999999999</v>
      </c>
      <c r="P250" s="94">
        <v>0</v>
      </c>
      <c r="Q250" s="94">
        <v>0</v>
      </c>
      <c r="R250" s="94">
        <f t="shared" si="437"/>
        <v>0</v>
      </c>
      <c r="S250" s="94">
        <v>0</v>
      </c>
      <c r="T250" s="38">
        <v>0</v>
      </c>
      <c r="U250" s="38">
        <v>0</v>
      </c>
      <c r="V250" s="38">
        <v>0</v>
      </c>
      <c r="W250" s="38">
        <v>0</v>
      </c>
      <c r="X250" s="38">
        <v>0</v>
      </c>
      <c r="Y250" s="38">
        <v>0</v>
      </c>
      <c r="Z250" s="38">
        <v>0</v>
      </c>
      <c r="AA250" s="38">
        <v>0</v>
      </c>
      <c r="AB250" s="38">
        <v>0</v>
      </c>
      <c r="AC250" s="38">
        <v>0</v>
      </c>
      <c r="AD250" s="32">
        <f t="shared" si="434"/>
        <v>0</v>
      </c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</row>
    <row r="251" spans="1:182" ht="17.25" customHeight="1">
      <c r="A251" s="45"/>
      <c r="B251" s="43" t="s">
        <v>38</v>
      </c>
      <c r="C251" s="35"/>
      <c r="D251" s="36"/>
      <c r="E251" s="37"/>
      <c r="F251" s="38">
        <f>H251+I251+AD251</f>
        <v>569.36200000000008</v>
      </c>
      <c r="G251" s="39">
        <v>0</v>
      </c>
      <c r="H251" s="38">
        <v>0</v>
      </c>
      <c r="I251" s="38">
        <f t="shared" si="430"/>
        <v>569.36200000000008</v>
      </c>
      <c r="J251" s="38">
        <v>0</v>
      </c>
      <c r="K251" s="16">
        <v>0</v>
      </c>
      <c r="L251" s="38">
        <v>0</v>
      </c>
      <c r="M251" s="40">
        <f>2.125-2.125</f>
        <v>0</v>
      </c>
      <c r="N251" s="93">
        <v>385.37</v>
      </c>
      <c r="O251" s="93">
        <v>183.99200000000002</v>
      </c>
      <c r="P251" s="94">
        <v>0</v>
      </c>
      <c r="Q251" s="94">
        <v>0</v>
      </c>
      <c r="R251" s="94">
        <f t="shared" si="437"/>
        <v>0</v>
      </c>
      <c r="S251" s="94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38">
        <v>0</v>
      </c>
      <c r="AC251" s="38">
        <v>0</v>
      </c>
      <c r="AD251" s="32">
        <f t="shared" si="434"/>
        <v>0</v>
      </c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</row>
    <row r="252" spans="1:182" ht="35.25" customHeight="1">
      <c r="A252" s="58">
        <v>82</v>
      </c>
      <c r="B252" s="42" t="s">
        <v>277</v>
      </c>
      <c r="C252" s="29" t="s">
        <v>278</v>
      </c>
      <c r="D252" s="54" t="s">
        <v>133</v>
      </c>
      <c r="E252" s="31">
        <f>F253</f>
        <v>7579.2710000000006</v>
      </c>
      <c r="F252" s="32">
        <f>F253+F254</f>
        <v>10749.784</v>
      </c>
      <c r="G252" s="32">
        <f>G253+G254</f>
        <v>0</v>
      </c>
      <c r="H252" s="32">
        <f>H253+H254</f>
        <v>0</v>
      </c>
      <c r="I252" s="33">
        <f t="shared" ref="I252:I254" si="442">SUM(K252:O252)</f>
        <v>10749.784</v>
      </c>
      <c r="J252" s="32">
        <f t="shared" ref="J252:M252" si="443">J253+J254</f>
        <v>0</v>
      </c>
      <c r="K252" s="32">
        <f t="shared" si="443"/>
        <v>0</v>
      </c>
      <c r="L252" s="32">
        <f t="shared" si="443"/>
        <v>0</v>
      </c>
      <c r="M252" s="32">
        <f t="shared" si="443"/>
        <v>0</v>
      </c>
      <c r="N252" s="95">
        <f>N253+N254</f>
        <v>2967.5729999999999</v>
      </c>
      <c r="O252" s="95">
        <f t="shared" ref="O252:Q252" si="444">O253+O254</f>
        <v>7782.2110000000002</v>
      </c>
      <c r="P252" s="95">
        <f t="shared" si="444"/>
        <v>0</v>
      </c>
      <c r="Q252" s="95">
        <f t="shared" si="444"/>
        <v>0</v>
      </c>
      <c r="R252" s="95">
        <f t="shared" ref="R252:R254" si="445">SUM(S252:AC252)</f>
        <v>0</v>
      </c>
      <c r="S252" s="95">
        <f>S253+S254</f>
        <v>0</v>
      </c>
      <c r="T252" s="32">
        <f t="shared" ref="T252:AC252" si="446">T253+T254</f>
        <v>0</v>
      </c>
      <c r="U252" s="32">
        <f t="shared" si="446"/>
        <v>0</v>
      </c>
      <c r="V252" s="32">
        <f t="shared" si="446"/>
        <v>0</v>
      </c>
      <c r="W252" s="32">
        <f t="shared" si="446"/>
        <v>0</v>
      </c>
      <c r="X252" s="32">
        <f t="shared" si="446"/>
        <v>0</v>
      </c>
      <c r="Y252" s="32">
        <f t="shared" si="446"/>
        <v>0</v>
      </c>
      <c r="Z252" s="32">
        <f t="shared" si="446"/>
        <v>0</v>
      </c>
      <c r="AA252" s="32">
        <f t="shared" si="446"/>
        <v>0</v>
      </c>
      <c r="AB252" s="32">
        <f t="shared" si="446"/>
        <v>0</v>
      </c>
      <c r="AC252" s="32">
        <f t="shared" si="446"/>
        <v>0</v>
      </c>
      <c r="AD252" s="32">
        <f t="shared" si="434"/>
        <v>0</v>
      </c>
    </row>
    <row r="253" spans="1:182" ht="17.25" customHeight="1">
      <c r="A253" s="45"/>
      <c r="B253" s="13" t="s">
        <v>30</v>
      </c>
      <c r="C253" s="35"/>
      <c r="D253" s="36"/>
      <c r="E253" s="37"/>
      <c r="F253" s="38">
        <f>H253+I253+AD253</f>
        <v>7579.2710000000006</v>
      </c>
      <c r="G253" s="39">
        <v>0</v>
      </c>
      <c r="H253" s="38">
        <v>0</v>
      </c>
      <c r="I253" s="38">
        <f t="shared" si="442"/>
        <v>7579.2710000000006</v>
      </c>
      <c r="J253" s="38">
        <v>0</v>
      </c>
      <c r="K253" s="38">
        <v>0</v>
      </c>
      <c r="L253" s="38">
        <v>0</v>
      </c>
      <c r="M253" s="40">
        <v>0</v>
      </c>
      <c r="N253" s="94">
        <v>1904.7339999999999</v>
      </c>
      <c r="O253" s="94">
        <v>5674.5370000000003</v>
      </c>
      <c r="P253" s="94">
        <v>0</v>
      </c>
      <c r="Q253" s="94">
        <v>0</v>
      </c>
      <c r="R253" s="94">
        <f t="shared" si="445"/>
        <v>0</v>
      </c>
      <c r="S253" s="94">
        <v>0</v>
      </c>
      <c r="T253" s="38">
        <v>0</v>
      </c>
      <c r="U253" s="38">
        <v>0</v>
      </c>
      <c r="V253" s="38">
        <f>'[3]Programy PROJEKT'!AD578+'[3]Programy PROJEKT'!AE578</f>
        <v>0</v>
      </c>
      <c r="W253" s="38">
        <v>0</v>
      </c>
      <c r="X253" s="38">
        <v>0</v>
      </c>
      <c r="Y253" s="38">
        <v>0</v>
      </c>
      <c r="Z253" s="38">
        <v>0</v>
      </c>
      <c r="AA253" s="38">
        <v>0</v>
      </c>
      <c r="AB253" s="38">
        <v>0</v>
      </c>
      <c r="AC253" s="38">
        <v>0</v>
      </c>
      <c r="AD253" s="32">
        <f t="shared" si="434"/>
        <v>0</v>
      </c>
    </row>
    <row r="254" spans="1:182" ht="17.25" customHeight="1">
      <c r="A254" s="45"/>
      <c r="B254" s="43" t="s">
        <v>38</v>
      </c>
      <c r="C254" s="35"/>
      <c r="D254" s="36"/>
      <c r="E254" s="37"/>
      <c r="F254" s="38">
        <f>H254+I254+AD254</f>
        <v>3170.5129999999999</v>
      </c>
      <c r="G254" s="39">
        <v>0</v>
      </c>
      <c r="H254" s="38">
        <v>0</v>
      </c>
      <c r="I254" s="38">
        <f t="shared" si="442"/>
        <v>3170.5129999999999</v>
      </c>
      <c r="J254" s="38">
        <v>0</v>
      </c>
      <c r="K254" s="38">
        <v>0</v>
      </c>
      <c r="L254" s="38">
        <v>0</v>
      </c>
      <c r="M254" s="38">
        <v>0</v>
      </c>
      <c r="N254" s="94">
        <v>1062.8389999999999</v>
      </c>
      <c r="O254" s="94">
        <v>2107.674</v>
      </c>
      <c r="P254" s="94">
        <v>0</v>
      </c>
      <c r="Q254" s="94">
        <v>0</v>
      </c>
      <c r="R254" s="94">
        <f t="shared" si="445"/>
        <v>0</v>
      </c>
      <c r="S254" s="94">
        <v>0</v>
      </c>
      <c r="T254" s="38">
        <v>0</v>
      </c>
      <c r="U254" s="38">
        <v>0</v>
      </c>
      <c r="V254" s="38">
        <v>0</v>
      </c>
      <c r="W254" s="38">
        <v>0</v>
      </c>
      <c r="X254" s="38">
        <v>0</v>
      </c>
      <c r="Y254" s="38">
        <v>0</v>
      </c>
      <c r="Z254" s="38">
        <v>0</v>
      </c>
      <c r="AA254" s="38">
        <v>0</v>
      </c>
      <c r="AB254" s="38">
        <v>0</v>
      </c>
      <c r="AC254" s="38">
        <v>0</v>
      </c>
      <c r="AD254" s="32">
        <f t="shared" si="434"/>
        <v>0</v>
      </c>
    </row>
    <row r="255" spans="1:182" ht="35.25" customHeight="1">
      <c r="A255" s="25">
        <v>83</v>
      </c>
      <c r="B255" s="28" t="s">
        <v>305</v>
      </c>
      <c r="C255" s="29" t="s">
        <v>238</v>
      </c>
      <c r="D255" s="30" t="s">
        <v>84</v>
      </c>
      <c r="E255" s="31">
        <f>F256</f>
        <v>185.81299999999999</v>
      </c>
      <c r="F255" s="32">
        <f>F256+F257</f>
        <v>670.41800000000001</v>
      </c>
      <c r="G255" s="32">
        <f>G256+G257</f>
        <v>0</v>
      </c>
      <c r="H255" s="32">
        <f>H256+H257</f>
        <v>0</v>
      </c>
      <c r="I255" s="33">
        <f>SUM(K255:O255)</f>
        <v>670.41800000000012</v>
      </c>
      <c r="J255" s="32">
        <f t="shared" ref="J255:M255" si="447">J256+J257</f>
        <v>0</v>
      </c>
      <c r="K255" s="32">
        <f t="shared" si="447"/>
        <v>0</v>
      </c>
      <c r="L255" s="32">
        <f t="shared" si="447"/>
        <v>0</v>
      </c>
      <c r="M255" s="32">
        <f t="shared" si="447"/>
        <v>0</v>
      </c>
      <c r="N255" s="95">
        <f>N256+N257</f>
        <v>386.48200000000003</v>
      </c>
      <c r="O255" s="95">
        <f t="shared" ref="O255:Q255" si="448">O256+O257</f>
        <v>283.93600000000004</v>
      </c>
      <c r="P255" s="95">
        <f t="shared" si="448"/>
        <v>0</v>
      </c>
      <c r="Q255" s="95">
        <f t="shared" si="448"/>
        <v>0</v>
      </c>
      <c r="R255" s="95">
        <f>SUM(S255:AC255)</f>
        <v>0</v>
      </c>
      <c r="S255" s="95">
        <f>S256+S257</f>
        <v>0</v>
      </c>
      <c r="T255" s="32">
        <f t="shared" ref="T255:AC255" si="449">T256+T257</f>
        <v>0</v>
      </c>
      <c r="U255" s="32">
        <f t="shared" si="449"/>
        <v>0</v>
      </c>
      <c r="V255" s="32">
        <f t="shared" si="449"/>
        <v>0</v>
      </c>
      <c r="W255" s="32">
        <f t="shared" si="449"/>
        <v>0</v>
      </c>
      <c r="X255" s="32">
        <f t="shared" si="449"/>
        <v>0</v>
      </c>
      <c r="Y255" s="32">
        <f t="shared" si="449"/>
        <v>0</v>
      </c>
      <c r="Z255" s="32">
        <f t="shared" si="449"/>
        <v>0</v>
      </c>
      <c r="AA255" s="32">
        <f t="shared" si="449"/>
        <v>0</v>
      </c>
      <c r="AB255" s="32">
        <f t="shared" si="449"/>
        <v>0</v>
      </c>
      <c r="AC255" s="32">
        <f t="shared" si="449"/>
        <v>0</v>
      </c>
      <c r="AD255" s="32">
        <f t="shared" si="434"/>
        <v>0</v>
      </c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</row>
    <row r="256" spans="1:182" ht="17.25" customHeight="1">
      <c r="A256" s="45"/>
      <c r="B256" s="13" t="s">
        <v>30</v>
      </c>
      <c r="C256" s="35"/>
      <c r="D256" s="36"/>
      <c r="E256" s="37"/>
      <c r="F256" s="38">
        <f>H256+I256+AD256</f>
        <v>185.81299999999999</v>
      </c>
      <c r="G256" s="39">
        <v>0</v>
      </c>
      <c r="H256" s="38">
        <v>0</v>
      </c>
      <c r="I256" s="38">
        <f>SUM(K256:O256)</f>
        <v>185.81299999999999</v>
      </c>
      <c r="J256" s="38">
        <v>0</v>
      </c>
      <c r="K256" s="16">
        <v>0</v>
      </c>
      <c r="L256" s="38">
        <v>0</v>
      </c>
      <c r="M256" s="40">
        <f>0.3-0.3</f>
        <v>0</v>
      </c>
      <c r="N256" s="93">
        <v>57.972999999999999</v>
      </c>
      <c r="O256" s="97">
        <v>127.84</v>
      </c>
      <c r="P256" s="94">
        <v>0</v>
      </c>
      <c r="Q256" s="94">
        <v>0</v>
      </c>
      <c r="R256" s="94">
        <f>SUM(S256:AC256)</f>
        <v>0</v>
      </c>
      <c r="S256" s="94">
        <v>0</v>
      </c>
      <c r="T256" s="38">
        <v>0</v>
      </c>
      <c r="U256" s="38">
        <v>0</v>
      </c>
      <c r="V256" s="38">
        <v>0</v>
      </c>
      <c r="W256" s="38">
        <v>0</v>
      </c>
      <c r="X256" s="38">
        <v>0</v>
      </c>
      <c r="Y256" s="38">
        <v>0</v>
      </c>
      <c r="Z256" s="38">
        <v>0</v>
      </c>
      <c r="AA256" s="38">
        <v>0</v>
      </c>
      <c r="AB256" s="38">
        <v>0</v>
      </c>
      <c r="AC256" s="38">
        <v>0</v>
      </c>
      <c r="AD256" s="32">
        <f t="shared" si="434"/>
        <v>0</v>
      </c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</row>
    <row r="257" spans="1:182" ht="17.25" customHeight="1">
      <c r="A257" s="45"/>
      <c r="B257" s="43" t="s">
        <v>38</v>
      </c>
      <c r="C257" s="35"/>
      <c r="D257" s="36"/>
      <c r="E257" s="37"/>
      <c r="F257" s="38">
        <f>H257+I257+AD257</f>
        <v>484.60500000000002</v>
      </c>
      <c r="G257" s="39">
        <v>0</v>
      </c>
      <c r="H257" s="38">
        <v>0</v>
      </c>
      <c r="I257" s="38">
        <f>SUM(K257:O257)</f>
        <v>484.60500000000002</v>
      </c>
      <c r="J257" s="38">
        <v>0</v>
      </c>
      <c r="K257" s="16">
        <v>0</v>
      </c>
      <c r="L257" s="38">
        <v>0</v>
      </c>
      <c r="M257" s="40">
        <f>1.7-1.7</f>
        <v>0</v>
      </c>
      <c r="N257" s="93">
        <v>328.50900000000001</v>
      </c>
      <c r="O257" s="93">
        <v>156.096</v>
      </c>
      <c r="P257" s="94">
        <v>0</v>
      </c>
      <c r="Q257" s="94">
        <v>0</v>
      </c>
      <c r="R257" s="94">
        <f>SUM(S257:AC257)</f>
        <v>0</v>
      </c>
      <c r="S257" s="94">
        <v>0</v>
      </c>
      <c r="T257" s="38">
        <v>0</v>
      </c>
      <c r="U257" s="38">
        <v>0</v>
      </c>
      <c r="V257" s="38">
        <v>0</v>
      </c>
      <c r="W257" s="38">
        <v>0</v>
      </c>
      <c r="X257" s="38">
        <v>0</v>
      </c>
      <c r="Y257" s="38">
        <v>0</v>
      </c>
      <c r="Z257" s="38">
        <v>0</v>
      </c>
      <c r="AA257" s="38">
        <v>0</v>
      </c>
      <c r="AB257" s="38">
        <v>0</v>
      </c>
      <c r="AC257" s="38">
        <v>0</v>
      </c>
      <c r="AD257" s="32">
        <f t="shared" si="434"/>
        <v>0</v>
      </c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</row>
    <row r="258" spans="1:182" ht="21.75" customHeight="1">
      <c r="A258" s="57" t="s">
        <v>179</v>
      </c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108"/>
      <c r="O258" s="108"/>
      <c r="P258" s="108"/>
      <c r="Q258" s="108"/>
      <c r="R258" s="108"/>
      <c r="S258" s="108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32">
        <f t="shared" si="434"/>
        <v>0</v>
      </c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</row>
    <row r="259" spans="1:182" ht="21.75" customHeight="1">
      <c r="A259" s="25">
        <v>84</v>
      </c>
      <c r="B259" s="42" t="s">
        <v>180</v>
      </c>
      <c r="C259" s="29" t="s">
        <v>181</v>
      </c>
      <c r="D259" s="30" t="s">
        <v>182</v>
      </c>
      <c r="E259" s="31">
        <f>F260</f>
        <v>29756.987000000001</v>
      </c>
      <c r="F259" s="32">
        <f>F260+F261</f>
        <v>36302.587</v>
      </c>
      <c r="G259" s="32">
        <f>G260+G261</f>
        <v>17230.900000000001</v>
      </c>
      <c r="H259" s="32">
        <f>H260+H261</f>
        <v>19490.161</v>
      </c>
      <c r="I259" s="33">
        <f t="shared" ref="I259:I276" si="450">SUM(K259:O259)</f>
        <v>12453.425999999999</v>
      </c>
      <c r="J259" s="32">
        <f t="shared" ref="J259:Q259" si="451">J260+J261</f>
        <v>2259.261</v>
      </c>
      <c r="K259" s="32">
        <f t="shared" si="451"/>
        <v>6046.018</v>
      </c>
      <c r="L259" s="32">
        <f t="shared" si="451"/>
        <v>1596.1790000000001</v>
      </c>
      <c r="M259" s="32">
        <f t="shared" si="451"/>
        <v>3168.8850000000002</v>
      </c>
      <c r="N259" s="95">
        <f t="shared" si="451"/>
        <v>238.54400000000001</v>
      </c>
      <c r="O259" s="95">
        <f t="shared" si="451"/>
        <v>1403.8</v>
      </c>
      <c r="P259" s="95">
        <f t="shared" si="451"/>
        <v>1000</v>
      </c>
      <c r="Q259" s="95">
        <f t="shared" si="451"/>
        <v>3359</v>
      </c>
      <c r="R259" s="95">
        <v>0</v>
      </c>
      <c r="S259" s="95">
        <v>0</v>
      </c>
      <c r="T259" s="32">
        <v>0</v>
      </c>
      <c r="U259" s="32">
        <f t="shared" ref="U259:AC259" si="452">U260+U261</f>
        <v>0</v>
      </c>
      <c r="V259" s="32">
        <f t="shared" si="452"/>
        <v>0</v>
      </c>
      <c r="W259" s="32">
        <f t="shared" si="452"/>
        <v>0</v>
      </c>
      <c r="X259" s="32">
        <f t="shared" si="452"/>
        <v>0</v>
      </c>
      <c r="Y259" s="32">
        <f t="shared" si="452"/>
        <v>0</v>
      </c>
      <c r="Z259" s="32">
        <f t="shared" si="452"/>
        <v>0</v>
      </c>
      <c r="AA259" s="32">
        <f t="shared" si="452"/>
        <v>0</v>
      </c>
      <c r="AB259" s="32">
        <f t="shared" si="452"/>
        <v>0</v>
      </c>
      <c r="AC259" s="32">
        <f t="shared" si="452"/>
        <v>0</v>
      </c>
      <c r="AD259" s="32">
        <f t="shared" si="434"/>
        <v>4359</v>
      </c>
    </row>
    <row r="260" spans="1:182" ht="17.25" customHeight="1">
      <c r="A260" s="45"/>
      <c r="B260" s="13" t="s">
        <v>30</v>
      </c>
      <c r="C260" s="35"/>
      <c r="D260" s="36"/>
      <c r="E260" s="37"/>
      <c r="F260" s="38">
        <f>H260+I260+AD260</f>
        <v>29756.987000000001</v>
      </c>
      <c r="G260" s="39">
        <v>13710.9</v>
      </c>
      <c r="H260" s="38">
        <v>15022.960999999999</v>
      </c>
      <c r="I260" s="38">
        <f t="shared" si="450"/>
        <v>10375.026</v>
      </c>
      <c r="J260" s="38">
        <v>1312.0609999999999</v>
      </c>
      <c r="K260" s="38">
        <v>4545.4489999999996</v>
      </c>
      <c r="L260" s="38">
        <v>1438.1790000000001</v>
      </c>
      <c r="M260" s="38">
        <f>3649.054-800-100</f>
        <v>2749.0540000000001</v>
      </c>
      <c r="N260" s="94">
        <v>238.54400000000001</v>
      </c>
      <c r="O260" s="94">
        <v>1403.8</v>
      </c>
      <c r="P260" s="94">
        <v>1000</v>
      </c>
      <c r="Q260" s="94">
        <v>3359</v>
      </c>
      <c r="R260" s="94">
        <v>0</v>
      </c>
      <c r="S260" s="94">
        <v>0</v>
      </c>
      <c r="T260" s="38">
        <v>0</v>
      </c>
      <c r="U260" s="38">
        <f>'[3]Programy PROJEKT'!AA578+'[3]Programy PROJEKT'!AB578</f>
        <v>0</v>
      </c>
      <c r="V260" s="38">
        <v>0</v>
      </c>
      <c r="W260" s="38">
        <v>0</v>
      </c>
      <c r="X260" s="38">
        <v>0</v>
      </c>
      <c r="Y260" s="38">
        <v>0</v>
      </c>
      <c r="Z260" s="38">
        <v>0</v>
      </c>
      <c r="AA260" s="38">
        <v>0</v>
      </c>
      <c r="AB260" s="38">
        <v>0</v>
      </c>
      <c r="AC260" s="38">
        <v>0</v>
      </c>
      <c r="AD260" s="32">
        <f t="shared" si="434"/>
        <v>4359</v>
      </c>
    </row>
    <row r="261" spans="1:182" ht="17.25" customHeight="1">
      <c r="A261" s="45"/>
      <c r="B261" s="13" t="s">
        <v>108</v>
      </c>
      <c r="C261" s="35"/>
      <c r="D261" s="36"/>
      <c r="E261" s="37"/>
      <c r="F261" s="38">
        <f>H261+I261+AD261</f>
        <v>6545.6</v>
      </c>
      <c r="G261" s="39">
        <v>3520</v>
      </c>
      <c r="H261" s="38">
        <v>4467.2</v>
      </c>
      <c r="I261" s="38">
        <f t="shared" si="450"/>
        <v>2078.4</v>
      </c>
      <c r="J261" s="38">
        <v>947.2</v>
      </c>
      <c r="K261" s="38">
        <v>1500.569</v>
      </c>
      <c r="L261" s="38">
        <v>158</v>
      </c>
      <c r="M261" s="38">
        <v>419.83100000000002</v>
      </c>
      <c r="N261" s="94">
        <v>0</v>
      </c>
      <c r="O261" s="94">
        <v>0</v>
      </c>
      <c r="P261" s="94">
        <v>0</v>
      </c>
      <c r="Q261" s="94">
        <v>0</v>
      </c>
      <c r="R261" s="94">
        <v>0</v>
      </c>
      <c r="S261" s="94">
        <v>0</v>
      </c>
      <c r="T261" s="38">
        <v>0</v>
      </c>
      <c r="U261" s="38">
        <v>0</v>
      </c>
      <c r="V261" s="38">
        <v>0</v>
      </c>
      <c r="W261" s="38">
        <v>0</v>
      </c>
      <c r="X261" s="38">
        <v>0</v>
      </c>
      <c r="Y261" s="38">
        <v>0</v>
      </c>
      <c r="Z261" s="38">
        <v>0</v>
      </c>
      <c r="AA261" s="38">
        <v>0</v>
      </c>
      <c r="AB261" s="38">
        <v>0</v>
      </c>
      <c r="AC261" s="38">
        <v>0</v>
      </c>
      <c r="AD261" s="32">
        <f t="shared" si="434"/>
        <v>0</v>
      </c>
    </row>
    <row r="262" spans="1:182" ht="21.75" customHeight="1">
      <c r="A262" s="25">
        <v>86</v>
      </c>
      <c r="B262" s="28" t="s">
        <v>183</v>
      </c>
      <c r="C262" s="29" t="s">
        <v>184</v>
      </c>
      <c r="D262" s="30" t="s">
        <v>100</v>
      </c>
      <c r="E262" s="31">
        <f>F263</f>
        <v>88184.402999999991</v>
      </c>
      <c r="F262" s="32">
        <f>F263+F264</f>
        <v>92984.402999999991</v>
      </c>
      <c r="G262" s="32">
        <f>G263+G264</f>
        <v>56934.972999999998</v>
      </c>
      <c r="H262" s="32">
        <f>H263+H264</f>
        <v>58541.252999999997</v>
      </c>
      <c r="I262" s="33">
        <f t="shared" si="450"/>
        <v>20483.150000000001</v>
      </c>
      <c r="J262" s="32">
        <f t="shared" ref="J262:Q262" si="453">J263+J264</f>
        <v>1606.2800000000002</v>
      </c>
      <c r="K262" s="32">
        <f t="shared" si="453"/>
        <v>7544.66</v>
      </c>
      <c r="L262" s="32">
        <f t="shared" si="453"/>
        <v>2601.34</v>
      </c>
      <c r="M262" s="32">
        <f t="shared" si="453"/>
        <v>2760.85</v>
      </c>
      <c r="N262" s="95">
        <f t="shared" si="453"/>
        <v>2188.3000000000002</v>
      </c>
      <c r="O262" s="95">
        <f t="shared" si="453"/>
        <v>5388</v>
      </c>
      <c r="P262" s="95">
        <f t="shared" si="453"/>
        <v>1960</v>
      </c>
      <c r="Q262" s="95">
        <f t="shared" si="453"/>
        <v>4000</v>
      </c>
      <c r="R262" s="95">
        <v>8000</v>
      </c>
      <c r="S262" s="95">
        <f t="shared" ref="S262:AC262" si="454">S263+S264</f>
        <v>4000</v>
      </c>
      <c r="T262" s="32">
        <f t="shared" si="454"/>
        <v>4000</v>
      </c>
      <c r="U262" s="32">
        <f t="shared" si="454"/>
        <v>0</v>
      </c>
      <c r="V262" s="32">
        <f t="shared" si="454"/>
        <v>0</v>
      </c>
      <c r="W262" s="32">
        <f t="shared" si="454"/>
        <v>0</v>
      </c>
      <c r="X262" s="32">
        <f t="shared" si="454"/>
        <v>0</v>
      </c>
      <c r="Y262" s="32">
        <f t="shared" si="454"/>
        <v>0</v>
      </c>
      <c r="Z262" s="32">
        <f t="shared" si="454"/>
        <v>0</v>
      </c>
      <c r="AA262" s="32">
        <f t="shared" si="454"/>
        <v>0</v>
      </c>
      <c r="AB262" s="32">
        <f t="shared" si="454"/>
        <v>0</v>
      </c>
      <c r="AC262" s="32">
        <f t="shared" si="454"/>
        <v>0</v>
      </c>
      <c r="AD262" s="32">
        <f t="shared" si="434"/>
        <v>13960</v>
      </c>
    </row>
    <row r="263" spans="1:182" ht="17.25" customHeight="1">
      <c r="A263" s="45"/>
      <c r="B263" s="13" t="s">
        <v>30</v>
      </c>
      <c r="C263" s="35"/>
      <c r="D263" s="36"/>
      <c r="E263" s="37"/>
      <c r="F263" s="38">
        <f>H263+I263+AD263</f>
        <v>88184.402999999991</v>
      </c>
      <c r="G263" s="39">
        <v>52134.972999999998</v>
      </c>
      <c r="H263" s="38">
        <v>53741.252999999997</v>
      </c>
      <c r="I263" s="38">
        <f t="shared" si="450"/>
        <v>20483.150000000001</v>
      </c>
      <c r="J263" s="38">
        <v>1606.2800000000002</v>
      </c>
      <c r="K263" s="38">
        <v>7544.66</v>
      </c>
      <c r="L263" s="38">
        <v>2601.34</v>
      </c>
      <c r="M263" s="40">
        <v>2760.85</v>
      </c>
      <c r="N263" s="94">
        <v>2188.3000000000002</v>
      </c>
      <c r="O263" s="94">
        <v>5388</v>
      </c>
      <c r="P263" s="94">
        <v>1960</v>
      </c>
      <c r="Q263" s="94">
        <v>4000</v>
      </c>
      <c r="R263" s="94">
        <v>8000</v>
      </c>
      <c r="S263" s="94">
        <v>4000</v>
      </c>
      <c r="T263" s="38">
        <v>4000</v>
      </c>
      <c r="U263" s="38">
        <v>0</v>
      </c>
      <c r="V263" s="38">
        <v>0</v>
      </c>
      <c r="W263" s="38">
        <v>0</v>
      </c>
      <c r="X263" s="38">
        <v>0</v>
      </c>
      <c r="Y263" s="38">
        <v>0</v>
      </c>
      <c r="Z263" s="38">
        <v>0</v>
      </c>
      <c r="AA263" s="38">
        <v>0</v>
      </c>
      <c r="AB263" s="38">
        <v>0</v>
      </c>
      <c r="AC263" s="38">
        <v>0</v>
      </c>
      <c r="AD263" s="32">
        <f t="shared" si="434"/>
        <v>13960</v>
      </c>
    </row>
    <row r="264" spans="1:182" ht="17.25" customHeight="1">
      <c r="A264" s="45"/>
      <c r="B264" s="13" t="s">
        <v>60</v>
      </c>
      <c r="C264" s="35"/>
      <c r="D264" s="36"/>
      <c r="E264" s="37"/>
      <c r="F264" s="38">
        <f>H264+I264+AD264</f>
        <v>4800</v>
      </c>
      <c r="G264" s="39">
        <v>4800</v>
      </c>
      <c r="H264" s="38">
        <v>4800</v>
      </c>
      <c r="I264" s="38">
        <f t="shared" si="450"/>
        <v>0</v>
      </c>
      <c r="J264" s="38">
        <v>0</v>
      </c>
      <c r="K264" s="38">
        <v>0</v>
      </c>
      <c r="L264" s="38">
        <v>0</v>
      </c>
      <c r="M264" s="38">
        <v>0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0</v>
      </c>
      <c r="T264" s="38">
        <v>0</v>
      </c>
      <c r="U264" s="38">
        <v>0</v>
      </c>
      <c r="V264" s="38">
        <v>0</v>
      </c>
      <c r="W264" s="38">
        <v>0</v>
      </c>
      <c r="X264" s="38">
        <v>0</v>
      </c>
      <c r="Y264" s="38">
        <v>0</v>
      </c>
      <c r="Z264" s="38">
        <v>0</v>
      </c>
      <c r="AA264" s="38">
        <v>0</v>
      </c>
      <c r="AB264" s="38">
        <v>0</v>
      </c>
      <c r="AC264" s="38">
        <v>0</v>
      </c>
      <c r="AD264" s="32">
        <f t="shared" si="434"/>
        <v>0</v>
      </c>
    </row>
    <row r="265" spans="1:182" ht="21.75" customHeight="1">
      <c r="A265" s="25">
        <v>87</v>
      </c>
      <c r="B265" s="28" t="s">
        <v>185</v>
      </c>
      <c r="C265" s="29" t="s">
        <v>186</v>
      </c>
      <c r="D265" s="30" t="s">
        <v>50</v>
      </c>
      <c r="E265" s="31">
        <f>F266</f>
        <v>5702.1579999999994</v>
      </c>
      <c r="F265" s="32">
        <f>F266+F267</f>
        <v>8146.6729999999998</v>
      </c>
      <c r="G265" s="32">
        <f>G266+G267</f>
        <v>3538</v>
      </c>
      <c r="H265" s="32">
        <f>H266+H267</f>
        <v>3538</v>
      </c>
      <c r="I265" s="33">
        <f t="shared" si="450"/>
        <v>4608.6729999999998</v>
      </c>
      <c r="J265" s="32">
        <f t="shared" ref="J265:P265" si="455">J266+J267</f>
        <v>0</v>
      </c>
      <c r="K265" s="32">
        <f t="shared" si="455"/>
        <v>200</v>
      </c>
      <c r="L265" s="32">
        <f t="shared" si="455"/>
        <v>49.814999999999998</v>
      </c>
      <c r="M265" s="32">
        <f t="shared" si="455"/>
        <v>0</v>
      </c>
      <c r="N265" s="95">
        <f t="shared" si="455"/>
        <v>4153.585</v>
      </c>
      <c r="O265" s="95">
        <f t="shared" si="455"/>
        <v>205.273</v>
      </c>
      <c r="P265" s="95">
        <f t="shared" si="455"/>
        <v>0</v>
      </c>
      <c r="Q265" s="95">
        <f>Q266+Q267</f>
        <v>0</v>
      </c>
      <c r="R265" s="95">
        <v>0</v>
      </c>
      <c r="S265" s="95">
        <f t="shared" ref="S265:AC265" si="456">S266+S267</f>
        <v>0</v>
      </c>
      <c r="T265" s="32">
        <f t="shared" si="456"/>
        <v>0</v>
      </c>
      <c r="U265" s="32">
        <f t="shared" si="456"/>
        <v>0</v>
      </c>
      <c r="V265" s="32">
        <f t="shared" si="456"/>
        <v>0</v>
      </c>
      <c r="W265" s="32">
        <f t="shared" si="456"/>
        <v>0</v>
      </c>
      <c r="X265" s="32">
        <f t="shared" si="456"/>
        <v>0</v>
      </c>
      <c r="Y265" s="32">
        <f t="shared" si="456"/>
        <v>0</v>
      </c>
      <c r="Z265" s="32">
        <f t="shared" si="456"/>
        <v>0</v>
      </c>
      <c r="AA265" s="32">
        <f t="shared" si="456"/>
        <v>0</v>
      </c>
      <c r="AB265" s="32">
        <f t="shared" si="456"/>
        <v>0</v>
      </c>
      <c r="AC265" s="32">
        <f t="shared" si="456"/>
        <v>0</v>
      </c>
      <c r="AD265" s="32">
        <f t="shared" si="434"/>
        <v>0</v>
      </c>
    </row>
    <row r="266" spans="1:182" ht="17.25" customHeight="1">
      <c r="A266" s="45"/>
      <c r="B266" s="13" t="s">
        <v>30</v>
      </c>
      <c r="C266" s="35"/>
      <c r="D266" s="36"/>
      <c r="E266" s="37"/>
      <c r="F266" s="38">
        <f>H266+I266+AD266</f>
        <v>5702.1579999999994</v>
      </c>
      <c r="G266" s="39">
        <v>3538</v>
      </c>
      <c r="H266" s="38">
        <v>3538</v>
      </c>
      <c r="I266" s="38">
        <f t="shared" si="450"/>
        <v>2164.1579999999999</v>
      </c>
      <c r="J266" s="38">
        <v>0</v>
      </c>
      <c r="K266" s="38">
        <v>200</v>
      </c>
      <c r="L266" s="38">
        <v>49.814999999999998</v>
      </c>
      <c r="M266" s="38">
        <f>39.9-39.9</f>
        <v>0</v>
      </c>
      <c r="N266" s="94">
        <v>1709.07</v>
      </c>
      <c r="O266" s="93">
        <v>205.273</v>
      </c>
      <c r="P266" s="93">
        <v>0</v>
      </c>
      <c r="Q266" s="93">
        <v>0</v>
      </c>
      <c r="R266" s="93">
        <v>0</v>
      </c>
      <c r="S266" s="93">
        <v>0</v>
      </c>
      <c r="T266" s="38">
        <v>0</v>
      </c>
      <c r="U266" s="38">
        <v>0</v>
      </c>
      <c r="V266" s="38">
        <v>0</v>
      </c>
      <c r="W266" s="38">
        <v>0</v>
      </c>
      <c r="X266" s="38">
        <v>0</v>
      </c>
      <c r="Y266" s="38">
        <v>0</v>
      </c>
      <c r="Z266" s="38">
        <v>0</v>
      </c>
      <c r="AA266" s="38">
        <v>0</v>
      </c>
      <c r="AB266" s="38">
        <v>0</v>
      </c>
      <c r="AC266" s="38">
        <v>0</v>
      </c>
      <c r="AD266" s="32">
        <f t="shared" si="434"/>
        <v>0</v>
      </c>
    </row>
    <row r="267" spans="1:182" ht="17.25" customHeight="1">
      <c r="A267" s="45"/>
      <c r="B267" s="43" t="s">
        <v>38</v>
      </c>
      <c r="C267" s="35"/>
      <c r="D267" s="36"/>
      <c r="E267" s="37"/>
      <c r="F267" s="38">
        <f>H267+I267+AD267</f>
        <v>2444.5150000000003</v>
      </c>
      <c r="G267" s="39"/>
      <c r="H267" s="38">
        <v>0</v>
      </c>
      <c r="I267" s="38">
        <f t="shared" si="450"/>
        <v>2444.5150000000003</v>
      </c>
      <c r="J267" s="38"/>
      <c r="K267" s="38">
        <v>0</v>
      </c>
      <c r="L267" s="38">
        <v>0</v>
      </c>
      <c r="M267" s="38">
        <f>89.25-89.25</f>
        <v>0</v>
      </c>
      <c r="N267" s="94">
        <v>2444.5150000000003</v>
      </c>
      <c r="O267" s="94">
        <v>0</v>
      </c>
      <c r="P267" s="94">
        <v>0</v>
      </c>
      <c r="Q267" s="94">
        <v>0</v>
      </c>
      <c r="R267" s="94">
        <v>0</v>
      </c>
      <c r="S267" s="94">
        <v>0</v>
      </c>
      <c r="T267" s="38">
        <v>0</v>
      </c>
      <c r="U267" s="38">
        <v>0</v>
      </c>
      <c r="V267" s="38">
        <v>0</v>
      </c>
      <c r="W267" s="38">
        <v>0</v>
      </c>
      <c r="X267" s="38">
        <v>0</v>
      </c>
      <c r="Y267" s="38">
        <v>0</v>
      </c>
      <c r="Z267" s="38">
        <v>0</v>
      </c>
      <c r="AA267" s="38">
        <v>0</v>
      </c>
      <c r="AB267" s="38">
        <v>0</v>
      </c>
      <c r="AC267" s="38">
        <v>0</v>
      </c>
      <c r="AD267" s="32">
        <f t="shared" si="434"/>
        <v>0</v>
      </c>
    </row>
    <row r="268" spans="1:182" ht="35.25" customHeight="1">
      <c r="A268" s="25">
        <v>88</v>
      </c>
      <c r="B268" s="28" t="s">
        <v>187</v>
      </c>
      <c r="C268" s="29" t="s">
        <v>307</v>
      </c>
      <c r="D268" s="30" t="s">
        <v>96</v>
      </c>
      <c r="E268" s="31">
        <f>F269</f>
        <v>1132.921</v>
      </c>
      <c r="F268" s="32">
        <f>F269+F270</f>
        <v>1840.345</v>
      </c>
      <c r="G268" s="32">
        <f>G269+G270</f>
        <v>0</v>
      </c>
      <c r="H268" s="32">
        <f>H269+H270</f>
        <v>0</v>
      </c>
      <c r="I268" s="33">
        <f t="shared" si="450"/>
        <v>1810.105</v>
      </c>
      <c r="J268" s="32">
        <f t="shared" ref="J268:Q268" si="457">J269+J270</f>
        <v>0</v>
      </c>
      <c r="K268" s="32">
        <f t="shared" si="457"/>
        <v>0</v>
      </c>
      <c r="L268" s="32">
        <f t="shared" si="457"/>
        <v>0</v>
      </c>
      <c r="M268" s="32">
        <f t="shared" si="457"/>
        <v>858.25400000000002</v>
      </c>
      <c r="N268" s="95">
        <f t="shared" si="457"/>
        <v>796.923</v>
      </c>
      <c r="O268" s="95">
        <f t="shared" si="457"/>
        <v>154.928</v>
      </c>
      <c r="P268" s="96">
        <f t="shared" si="457"/>
        <v>19.440000000000001</v>
      </c>
      <c r="Q268" s="95">
        <f t="shared" si="457"/>
        <v>10.8</v>
      </c>
      <c r="R268" s="95">
        <v>0</v>
      </c>
      <c r="S268" s="95">
        <f t="shared" ref="S268:AC268" si="458">S269+S270</f>
        <v>0</v>
      </c>
      <c r="T268" s="32">
        <f t="shared" si="458"/>
        <v>0</v>
      </c>
      <c r="U268" s="32">
        <f t="shared" si="458"/>
        <v>0</v>
      </c>
      <c r="V268" s="32">
        <f t="shared" si="458"/>
        <v>0</v>
      </c>
      <c r="W268" s="32">
        <f t="shared" si="458"/>
        <v>0</v>
      </c>
      <c r="X268" s="32">
        <f t="shared" si="458"/>
        <v>0</v>
      </c>
      <c r="Y268" s="32">
        <f t="shared" si="458"/>
        <v>0</v>
      </c>
      <c r="Z268" s="32">
        <f t="shared" si="458"/>
        <v>0</v>
      </c>
      <c r="AA268" s="32">
        <f t="shared" si="458"/>
        <v>0</v>
      </c>
      <c r="AB268" s="32">
        <f t="shared" si="458"/>
        <v>0</v>
      </c>
      <c r="AC268" s="32">
        <f t="shared" si="458"/>
        <v>0</v>
      </c>
      <c r="AD268" s="32">
        <f t="shared" si="434"/>
        <v>30.240000000000002</v>
      </c>
    </row>
    <row r="269" spans="1:182" ht="17.25" customHeight="1">
      <c r="A269" s="45"/>
      <c r="B269" s="13" t="s">
        <v>30</v>
      </c>
      <c r="C269" s="35"/>
      <c r="D269" s="36"/>
      <c r="E269" s="37"/>
      <c r="F269" s="38">
        <f>H269+I269+AD269</f>
        <v>1132.921</v>
      </c>
      <c r="G269" s="39">
        <v>0</v>
      </c>
      <c r="H269" s="38">
        <v>0</v>
      </c>
      <c r="I269" s="38">
        <f t="shared" si="450"/>
        <v>1102.681</v>
      </c>
      <c r="J269" s="38">
        <v>0</v>
      </c>
      <c r="K269" s="38">
        <v>0</v>
      </c>
      <c r="L269" s="38">
        <v>0</v>
      </c>
      <c r="M269" s="40">
        <v>334.92899999999997</v>
      </c>
      <c r="N269" s="94">
        <v>612.82399999999996</v>
      </c>
      <c r="O269" s="93">
        <v>154.928</v>
      </c>
      <c r="P269" s="94">
        <v>19.440000000000001</v>
      </c>
      <c r="Q269" s="94">
        <v>10.8</v>
      </c>
      <c r="R269" s="94">
        <v>0</v>
      </c>
      <c r="S269" s="94">
        <v>0</v>
      </c>
      <c r="T269" s="38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0</v>
      </c>
      <c r="Z269" s="38">
        <v>0</v>
      </c>
      <c r="AA269" s="38">
        <v>0</v>
      </c>
      <c r="AB269" s="38">
        <v>0</v>
      </c>
      <c r="AC269" s="38">
        <v>0</v>
      </c>
      <c r="AD269" s="32">
        <f t="shared" si="434"/>
        <v>30.240000000000002</v>
      </c>
    </row>
    <row r="270" spans="1:182" ht="17.25" customHeight="1">
      <c r="A270" s="45"/>
      <c r="B270" s="43" t="s">
        <v>38</v>
      </c>
      <c r="C270" s="35"/>
      <c r="D270" s="36"/>
      <c r="E270" s="37"/>
      <c r="F270" s="38">
        <f>H270+I270+AD270</f>
        <v>707.42399999999998</v>
      </c>
      <c r="G270" s="39"/>
      <c r="H270" s="38">
        <v>0</v>
      </c>
      <c r="I270" s="38">
        <f t="shared" si="450"/>
        <v>707.42399999999998</v>
      </c>
      <c r="J270" s="38"/>
      <c r="K270" s="38">
        <v>0</v>
      </c>
      <c r="L270" s="38">
        <v>0</v>
      </c>
      <c r="M270" s="38">
        <v>523.32500000000005</v>
      </c>
      <c r="N270" s="94">
        <v>184.09899999999999</v>
      </c>
      <c r="O270" s="94">
        <v>0</v>
      </c>
      <c r="P270" s="94">
        <v>0</v>
      </c>
      <c r="Q270" s="94">
        <v>0</v>
      </c>
      <c r="R270" s="94">
        <v>0</v>
      </c>
      <c r="S270" s="94">
        <v>0</v>
      </c>
      <c r="T270" s="38">
        <v>0</v>
      </c>
      <c r="U270" s="38">
        <v>0</v>
      </c>
      <c r="V270" s="38">
        <v>0</v>
      </c>
      <c r="W270" s="38">
        <v>0</v>
      </c>
      <c r="X270" s="38">
        <v>0</v>
      </c>
      <c r="Y270" s="38">
        <v>0</v>
      </c>
      <c r="Z270" s="38">
        <v>0</v>
      </c>
      <c r="AA270" s="38">
        <v>0</v>
      </c>
      <c r="AB270" s="38">
        <v>0</v>
      </c>
      <c r="AC270" s="38">
        <v>0</v>
      </c>
      <c r="AD270" s="32">
        <f t="shared" si="434"/>
        <v>0</v>
      </c>
    </row>
    <row r="271" spans="1:182" ht="36.75" customHeight="1">
      <c r="A271" s="25">
        <v>89</v>
      </c>
      <c r="B271" s="28" t="s">
        <v>188</v>
      </c>
      <c r="C271" s="29" t="s">
        <v>274</v>
      </c>
      <c r="D271" s="30" t="s">
        <v>133</v>
      </c>
      <c r="E271" s="31">
        <f>F272</f>
        <v>1810</v>
      </c>
      <c r="F271" s="32">
        <f>F272+F273</f>
        <v>6959.1019999999999</v>
      </c>
      <c r="G271" s="32">
        <f>G272+G273</f>
        <v>0</v>
      </c>
      <c r="H271" s="32">
        <f>H272+H273</f>
        <v>0</v>
      </c>
      <c r="I271" s="33">
        <f t="shared" si="450"/>
        <v>6959.1019999999999</v>
      </c>
      <c r="J271" s="32">
        <f t="shared" ref="J271:Q271" si="459">J272+J273</f>
        <v>0</v>
      </c>
      <c r="K271" s="32">
        <f t="shared" si="459"/>
        <v>0</v>
      </c>
      <c r="L271" s="32">
        <f t="shared" si="459"/>
        <v>0</v>
      </c>
      <c r="M271" s="32">
        <f t="shared" si="459"/>
        <v>0</v>
      </c>
      <c r="N271" s="95">
        <f t="shared" si="459"/>
        <v>149.19999999999999</v>
      </c>
      <c r="O271" s="95">
        <f t="shared" si="459"/>
        <v>6809.902</v>
      </c>
      <c r="P271" s="95">
        <f t="shared" si="459"/>
        <v>0</v>
      </c>
      <c r="Q271" s="95">
        <f t="shared" si="459"/>
        <v>0</v>
      </c>
      <c r="R271" s="95">
        <v>0</v>
      </c>
      <c r="S271" s="95">
        <f t="shared" ref="S271:AC271" si="460">S272+S273</f>
        <v>0</v>
      </c>
      <c r="T271" s="32">
        <f t="shared" si="460"/>
        <v>0</v>
      </c>
      <c r="U271" s="32">
        <f t="shared" si="460"/>
        <v>0</v>
      </c>
      <c r="V271" s="32">
        <f t="shared" si="460"/>
        <v>0</v>
      </c>
      <c r="W271" s="32">
        <f t="shared" si="460"/>
        <v>0</v>
      </c>
      <c r="X271" s="32">
        <f t="shared" si="460"/>
        <v>0</v>
      </c>
      <c r="Y271" s="32">
        <f t="shared" si="460"/>
        <v>0</v>
      </c>
      <c r="Z271" s="32">
        <f t="shared" si="460"/>
        <v>0</v>
      </c>
      <c r="AA271" s="32">
        <f t="shared" si="460"/>
        <v>0</v>
      </c>
      <c r="AB271" s="32">
        <f t="shared" si="460"/>
        <v>0</v>
      </c>
      <c r="AC271" s="32">
        <f t="shared" si="460"/>
        <v>0</v>
      </c>
      <c r="AD271" s="32">
        <f t="shared" si="434"/>
        <v>0</v>
      </c>
    </row>
    <row r="272" spans="1:182" ht="17.25" customHeight="1">
      <c r="A272" s="45"/>
      <c r="B272" s="13" t="s">
        <v>30</v>
      </c>
      <c r="C272" s="35"/>
      <c r="D272" s="36"/>
      <c r="E272" s="37"/>
      <c r="F272" s="38">
        <f>H272+I272+AD272</f>
        <v>1810</v>
      </c>
      <c r="G272" s="39">
        <v>0</v>
      </c>
      <c r="H272" s="38">
        <v>0</v>
      </c>
      <c r="I272" s="38">
        <f t="shared" si="450"/>
        <v>1810</v>
      </c>
      <c r="J272" s="38">
        <v>0</v>
      </c>
      <c r="K272" s="38">
        <v>0</v>
      </c>
      <c r="L272" s="38">
        <v>0</v>
      </c>
      <c r="M272" s="38">
        <v>0</v>
      </c>
      <c r="N272" s="94">
        <v>149.19999999999999</v>
      </c>
      <c r="O272" s="94">
        <v>1660.8</v>
      </c>
      <c r="P272" s="94">
        <v>0</v>
      </c>
      <c r="Q272" s="94">
        <v>0</v>
      </c>
      <c r="R272" s="94">
        <v>0</v>
      </c>
      <c r="S272" s="94">
        <v>0</v>
      </c>
      <c r="T272" s="38">
        <v>0</v>
      </c>
      <c r="U272" s="38">
        <v>0</v>
      </c>
      <c r="V272" s="38">
        <v>0</v>
      </c>
      <c r="W272" s="38">
        <v>0</v>
      </c>
      <c r="X272" s="38">
        <v>0</v>
      </c>
      <c r="Y272" s="38">
        <v>0</v>
      </c>
      <c r="Z272" s="38">
        <v>0</v>
      </c>
      <c r="AA272" s="38">
        <v>0</v>
      </c>
      <c r="AB272" s="38">
        <v>0</v>
      </c>
      <c r="AC272" s="38">
        <v>0</v>
      </c>
      <c r="AD272" s="32">
        <f t="shared" si="434"/>
        <v>0</v>
      </c>
    </row>
    <row r="273" spans="1:30" ht="17.25" customHeight="1">
      <c r="A273" s="45"/>
      <c r="B273" s="43" t="s">
        <v>38</v>
      </c>
      <c r="C273" s="35"/>
      <c r="D273" s="36"/>
      <c r="E273" s="37"/>
      <c r="F273" s="38">
        <f>H273+I273+AD273</f>
        <v>5149.1019999999999</v>
      </c>
      <c r="G273" s="39"/>
      <c r="H273" s="38">
        <v>0</v>
      </c>
      <c r="I273" s="38">
        <f t="shared" si="450"/>
        <v>5149.1019999999999</v>
      </c>
      <c r="J273" s="38"/>
      <c r="K273" s="38">
        <v>0</v>
      </c>
      <c r="L273" s="38">
        <v>0</v>
      </c>
      <c r="M273" s="38">
        <v>0</v>
      </c>
      <c r="N273" s="94">
        <v>0</v>
      </c>
      <c r="O273" s="94">
        <v>5149.1019999999999</v>
      </c>
      <c r="P273" s="94">
        <v>0</v>
      </c>
      <c r="Q273" s="94">
        <v>0</v>
      </c>
      <c r="R273" s="94">
        <v>0</v>
      </c>
      <c r="S273" s="94">
        <v>0</v>
      </c>
      <c r="T273" s="38">
        <v>0</v>
      </c>
      <c r="U273" s="38">
        <v>0</v>
      </c>
      <c r="V273" s="38">
        <v>0</v>
      </c>
      <c r="W273" s="38">
        <v>0</v>
      </c>
      <c r="X273" s="38">
        <v>0</v>
      </c>
      <c r="Y273" s="38">
        <v>0</v>
      </c>
      <c r="Z273" s="38">
        <v>0</v>
      </c>
      <c r="AA273" s="38">
        <v>0</v>
      </c>
      <c r="AB273" s="38">
        <v>0</v>
      </c>
      <c r="AC273" s="38">
        <v>0</v>
      </c>
      <c r="AD273" s="32">
        <f t="shared" si="434"/>
        <v>0</v>
      </c>
    </row>
    <row r="274" spans="1:30" ht="21.75" customHeight="1">
      <c r="A274" s="25">
        <v>90</v>
      </c>
      <c r="B274" s="28" t="s">
        <v>189</v>
      </c>
      <c r="C274" s="29" t="s">
        <v>190</v>
      </c>
      <c r="D274" s="50" t="s">
        <v>191</v>
      </c>
      <c r="E274" s="31">
        <f>F275</f>
        <v>2022.058</v>
      </c>
      <c r="F274" s="32">
        <f>F275+F276</f>
        <v>20220.574000000001</v>
      </c>
      <c r="G274" s="32">
        <f>G275+G276</f>
        <v>0</v>
      </c>
      <c r="H274" s="32">
        <f>H275+H276</f>
        <v>2873.058</v>
      </c>
      <c r="I274" s="33">
        <f t="shared" si="450"/>
        <v>17347.516</v>
      </c>
      <c r="J274" s="32">
        <f t="shared" ref="J274:Q274" si="461">J275+J276</f>
        <v>2873.058</v>
      </c>
      <c r="K274" s="32">
        <f t="shared" si="461"/>
        <v>4556.6409999999996</v>
      </c>
      <c r="L274" s="32">
        <f t="shared" si="461"/>
        <v>4868.6100000000006</v>
      </c>
      <c r="M274" s="32">
        <f t="shared" si="461"/>
        <v>5701.6909999999998</v>
      </c>
      <c r="N274" s="95">
        <f t="shared" si="461"/>
        <v>2220.5740000000005</v>
      </c>
      <c r="O274" s="95">
        <f t="shared" si="461"/>
        <v>0</v>
      </c>
      <c r="P274" s="95">
        <f t="shared" si="461"/>
        <v>0</v>
      </c>
      <c r="Q274" s="95">
        <f t="shared" si="461"/>
        <v>0</v>
      </c>
      <c r="R274" s="95">
        <v>0</v>
      </c>
      <c r="S274" s="95">
        <f t="shared" ref="S274:AC274" si="462">S275+S276</f>
        <v>0</v>
      </c>
      <c r="T274" s="32">
        <f t="shared" si="462"/>
        <v>0</v>
      </c>
      <c r="U274" s="32">
        <f t="shared" si="462"/>
        <v>0</v>
      </c>
      <c r="V274" s="32">
        <f t="shared" si="462"/>
        <v>0</v>
      </c>
      <c r="W274" s="32">
        <f t="shared" si="462"/>
        <v>0</v>
      </c>
      <c r="X274" s="32">
        <f t="shared" si="462"/>
        <v>0</v>
      </c>
      <c r="Y274" s="32">
        <f t="shared" si="462"/>
        <v>0</v>
      </c>
      <c r="Z274" s="32">
        <f t="shared" si="462"/>
        <v>0</v>
      </c>
      <c r="AA274" s="32">
        <f t="shared" si="462"/>
        <v>0</v>
      </c>
      <c r="AB274" s="32">
        <f t="shared" si="462"/>
        <v>0</v>
      </c>
      <c r="AC274" s="32">
        <f t="shared" si="462"/>
        <v>0</v>
      </c>
      <c r="AD274" s="32">
        <f t="shared" si="434"/>
        <v>0</v>
      </c>
    </row>
    <row r="275" spans="1:30" ht="17.25" customHeight="1">
      <c r="A275" s="45"/>
      <c r="B275" s="13" t="s">
        <v>30</v>
      </c>
      <c r="C275" s="35"/>
      <c r="D275" s="36"/>
      <c r="E275" s="37"/>
      <c r="F275" s="38">
        <f>H275+I275+AD275</f>
        <v>2022.058</v>
      </c>
      <c r="G275" s="39">
        <v>0</v>
      </c>
      <c r="H275" s="38">
        <v>287.30700000000002</v>
      </c>
      <c r="I275" s="38">
        <f t="shared" si="450"/>
        <v>1734.751</v>
      </c>
      <c r="J275" s="38">
        <v>287.30700000000002</v>
      </c>
      <c r="K275" s="38">
        <v>455.66499999999996</v>
      </c>
      <c r="L275" s="38">
        <v>486.86800000000005</v>
      </c>
      <c r="M275" s="38">
        <v>570.16</v>
      </c>
      <c r="N275" s="94">
        <v>222.05799999999999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38">
        <v>0</v>
      </c>
      <c r="U275" s="38">
        <v>0</v>
      </c>
      <c r="V275" s="38">
        <v>0</v>
      </c>
      <c r="W275" s="38">
        <v>0</v>
      </c>
      <c r="X275" s="38">
        <v>0</v>
      </c>
      <c r="Y275" s="38">
        <v>0</v>
      </c>
      <c r="Z275" s="38">
        <v>0</v>
      </c>
      <c r="AA275" s="38">
        <v>0</v>
      </c>
      <c r="AB275" s="38">
        <v>0</v>
      </c>
      <c r="AC275" s="38">
        <v>0</v>
      </c>
      <c r="AD275" s="32">
        <f t="shared" si="434"/>
        <v>0</v>
      </c>
    </row>
    <row r="276" spans="1:30" ht="17.25" customHeight="1">
      <c r="A276" s="45"/>
      <c r="B276" s="13" t="s">
        <v>101</v>
      </c>
      <c r="C276" s="35"/>
      <c r="D276" s="36"/>
      <c r="E276" s="37"/>
      <c r="F276" s="38">
        <f>H276+I276+AD276</f>
        <v>18198.516</v>
      </c>
      <c r="G276" s="39">
        <v>0</v>
      </c>
      <c r="H276" s="38">
        <v>2585.7509999999997</v>
      </c>
      <c r="I276" s="38">
        <f t="shared" si="450"/>
        <v>15612.764999999999</v>
      </c>
      <c r="J276" s="38">
        <v>2585.7509999999997</v>
      </c>
      <c r="K276" s="38">
        <v>4100.9759999999997</v>
      </c>
      <c r="L276" s="38">
        <v>4381.7420000000002</v>
      </c>
      <c r="M276" s="38">
        <v>5131.5309999999999</v>
      </c>
      <c r="N276" s="94">
        <v>1998.5160000000003</v>
      </c>
      <c r="O276" s="94">
        <v>0</v>
      </c>
      <c r="P276" s="94">
        <v>0</v>
      </c>
      <c r="Q276" s="94">
        <v>0</v>
      </c>
      <c r="R276" s="94">
        <v>0</v>
      </c>
      <c r="S276" s="94">
        <v>0</v>
      </c>
      <c r="T276" s="38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0</v>
      </c>
      <c r="Z276" s="38">
        <v>0</v>
      </c>
      <c r="AA276" s="38">
        <v>0</v>
      </c>
      <c r="AB276" s="38">
        <v>0</v>
      </c>
      <c r="AC276" s="38">
        <v>0</v>
      </c>
      <c r="AD276" s="32">
        <f t="shared" si="434"/>
        <v>0</v>
      </c>
    </row>
    <row r="277" spans="1:30" ht="21.75" customHeight="1">
      <c r="A277" s="25">
        <v>91</v>
      </c>
      <c r="B277" s="28" t="s">
        <v>192</v>
      </c>
      <c r="C277" s="29" t="s">
        <v>190</v>
      </c>
      <c r="D277" s="50" t="s">
        <v>117</v>
      </c>
      <c r="E277" s="31">
        <f>F278</f>
        <v>2002.6210000000001</v>
      </c>
      <c r="F277" s="32">
        <f>F278+F279</f>
        <v>20026.205999999998</v>
      </c>
      <c r="G277" s="32">
        <f>G278+G279</f>
        <v>0</v>
      </c>
      <c r="H277" s="32">
        <f>H278+H279</f>
        <v>0</v>
      </c>
      <c r="I277" s="33">
        <f>SUM(K277:O277)</f>
        <v>20026.205999999998</v>
      </c>
      <c r="J277" s="32">
        <f t="shared" ref="J277:Q277" si="463">J278+J279</f>
        <v>0</v>
      </c>
      <c r="K277" s="32">
        <f t="shared" si="463"/>
        <v>3966.0979999999995</v>
      </c>
      <c r="L277" s="32">
        <f t="shared" si="463"/>
        <v>6678.9290000000001</v>
      </c>
      <c r="M277" s="32">
        <f t="shared" si="463"/>
        <v>6354.973</v>
      </c>
      <c r="N277" s="95">
        <f t="shared" si="463"/>
        <v>3026.2060000000001</v>
      </c>
      <c r="O277" s="95">
        <f t="shared" si="463"/>
        <v>0</v>
      </c>
      <c r="P277" s="95">
        <f t="shared" si="463"/>
        <v>0</v>
      </c>
      <c r="Q277" s="95">
        <f t="shared" si="463"/>
        <v>0</v>
      </c>
      <c r="R277" s="95">
        <v>0</v>
      </c>
      <c r="S277" s="95">
        <f t="shared" ref="S277:AC277" si="464">S278+S279</f>
        <v>0</v>
      </c>
      <c r="T277" s="32">
        <f t="shared" si="464"/>
        <v>0</v>
      </c>
      <c r="U277" s="32">
        <f t="shared" si="464"/>
        <v>0</v>
      </c>
      <c r="V277" s="32">
        <f t="shared" si="464"/>
        <v>0</v>
      </c>
      <c r="W277" s="32">
        <f t="shared" si="464"/>
        <v>0</v>
      </c>
      <c r="X277" s="32">
        <f t="shared" si="464"/>
        <v>0</v>
      </c>
      <c r="Y277" s="32">
        <f t="shared" si="464"/>
        <v>0</v>
      </c>
      <c r="Z277" s="32">
        <f t="shared" si="464"/>
        <v>0</v>
      </c>
      <c r="AA277" s="32">
        <f t="shared" si="464"/>
        <v>0</v>
      </c>
      <c r="AB277" s="32">
        <f t="shared" si="464"/>
        <v>0</v>
      </c>
      <c r="AC277" s="32">
        <f t="shared" si="464"/>
        <v>0</v>
      </c>
      <c r="AD277" s="32">
        <f t="shared" ref="AD277:AD308" si="465">P277+Q277+R277</f>
        <v>0</v>
      </c>
    </row>
    <row r="278" spans="1:30" ht="17.25" customHeight="1">
      <c r="A278" s="45"/>
      <c r="B278" s="13" t="s">
        <v>30</v>
      </c>
      <c r="C278" s="35"/>
      <c r="D278" s="36"/>
      <c r="E278" s="37"/>
      <c r="F278" s="38">
        <f>H278+I278+AD278</f>
        <v>2002.6210000000001</v>
      </c>
      <c r="G278" s="39">
        <v>0</v>
      </c>
      <c r="H278" s="38">
        <v>0</v>
      </c>
      <c r="I278" s="38">
        <f>SUM(K278:O278)</f>
        <v>2002.6210000000001</v>
      </c>
      <c r="J278" s="38">
        <v>0</v>
      </c>
      <c r="K278" s="38">
        <v>396.61099999999999</v>
      </c>
      <c r="L278" s="38">
        <v>667.89399999999989</v>
      </c>
      <c r="M278" s="38">
        <v>635.495</v>
      </c>
      <c r="N278" s="94">
        <v>302.62099999999998</v>
      </c>
      <c r="O278" s="94">
        <v>0</v>
      </c>
      <c r="P278" s="94">
        <v>0</v>
      </c>
      <c r="Q278" s="94">
        <v>0</v>
      </c>
      <c r="R278" s="94">
        <v>0</v>
      </c>
      <c r="S278" s="94">
        <v>0</v>
      </c>
      <c r="T278" s="38">
        <v>0</v>
      </c>
      <c r="U278" s="38">
        <v>0</v>
      </c>
      <c r="V278" s="38">
        <v>0</v>
      </c>
      <c r="W278" s="38">
        <v>0</v>
      </c>
      <c r="X278" s="38">
        <v>0</v>
      </c>
      <c r="Y278" s="38">
        <v>0</v>
      </c>
      <c r="Z278" s="38">
        <v>0</v>
      </c>
      <c r="AA278" s="38">
        <v>0</v>
      </c>
      <c r="AB278" s="38">
        <v>0</v>
      </c>
      <c r="AC278" s="38">
        <v>0</v>
      </c>
      <c r="AD278" s="32">
        <f t="shared" si="465"/>
        <v>0</v>
      </c>
    </row>
    <row r="279" spans="1:30" ht="17.25" customHeight="1">
      <c r="A279" s="45"/>
      <c r="B279" s="13" t="s">
        <v>101</v>
      </c>
      <c r="C279" s="35"/>
      <c r="D279" s="36"/>
      <c r="E279" s="37"/>
      <c r="F279" s="38">
        <f>H279+I279+AD279</f>
        <v>18023.584999999999</v>
      </c>
      <c r="G279" s="39">
        <v>0</v>
      </c>
      <c r="H279" s="38">
        <v>0</v>
      </c>
      <c r="I279" s="38">
        <f>SUM(K279:O279)</f>
        <v>18023.584999999999</v>
      </c>
      <c r="J279" s="38">
        <v>0</v>
      </c>
      <c r="K279" s="38">
        <v>3569.4869999999996</v>
      </c>
      <c r="L279" s="38">
        <v>6011.0349999999999</v>
      </c>
      <c r="M279" s="38">
        <v>5719.4780000000001</v>
      </c>
      <c r="N279" s="94">
        <v>2723.585</v>
      </c>
      <c r="O279" s="94">
        <v>0</v>
      </c>
      <c r="P279" s="94">
        <v>0</v>
      </c>
      <c r="Q279" s="94">
        <v>0</v>
      </c>
      <c r="R279" s="94">
        <v>0</v>
      </c>
      <c r="S279" s="94">
        <v>0</v>
      </c>
      <c r="T279" s="38">
        <v>0</v>
      </c>
      <c r="U279" s="38">
        <v>0</v>
      </c>
      <c r="V279" s="38">
        <v>0</v>
      </c>
      <c r="W279" s="38">
        <v>0</v>
      </c>
      <c r="X279" s="38">
        <v>0</v>
      </c>
      <c r="Y279" s="38">
        <v>0</v>
      </c>
      <c r="Z279" s="38">
        <v>0</v>
      </c>
      <c r="AA279" s="38">
        <v>0</v>
      </c>
      <c r="AB279" s="38">
        <v>0</v>
      </c>
      <c r="AC279" s="38">
        <v>0</v>
      </c>
      <c r="AD279" s="32">
        <f t="shared" si="465"/>
        <v>0</v>
      </c>
    </row>
    <row r="280" spans="1:30" ht="21.75" customHeight="1">
      <c r="A280" s="58">
        <v>92</v>
      </c>
      <c r="B280" s="28" t="s">
        <v>255</v>
      </c>
      <c r="C280" s="29" t="s">
        <v>190</v>
      </c>
      <c r="D280" s="54" t="s">
        <v>83</v>
      </c>
      <c r="E280" s="31">
        <f>F281</f>
        <v>29270</v>
      </c>
      <c r="F280" s="32">
        <f>F281</f>
        <v>29270</v>
      </c>
      <c r="G280" s="33">
        <f>G281</f>
        <v>0</v>
      </c>
      <c r="H280" s="33">
        <f>H281</f>
        <v>0</v>
      </c>
      <c r="I280" s="33">
        <f t="shared" ref="I280:I281" si="466">SUM(K280:O280)</f>
        <v>29270</v>
      </c>
      <c r="J280" s="32">
        <f>J281</f>
        <v>0</v>
      </c>
      <c r="K280" s="32">
        <f t="shared" ref="K280:Q280" si="467">K281</f>
        <v>0</v>
      </c>
      <c r="L280" s="32">
        <f t="shared" si="467"/>
        <v>0</v>
      </c>
      <c r="M280" s="32">
        <f t="shared" si="467"/>
        <v>3270</v>
      </c>
      <c r="N280" s="95">
        <f t="shared" si="467"/>
        <v>11000</v>
      </c>
      <c r="O280" s="95">
        <f t="shared" si="467"/>
        <v>15000</v>
      </c>
      <c r="P280" s="95">
        <f t="shared" si="467"/>
        <v>0</v>
      </c>
      <c r="Q280" s="95">
        <f t="shared" si="467"/>
        <v>0</v>
      </c>
      <c r="R280" s="95">
        <v>0</v>
      </c>
      <c r="S280" s="95">
        <v>0</v>
      </c>
      <c r="T280" s="32">
        <v>0</v>
      </c>
      <c r="U280" s="32">
        <f t="shared" ref="U280:AC280" si="468">U281</f>
        <v>0</v>
      </c>
      <c r="V280" s="32">
        <f t="shared" si="468"/>
        <v>0</v>
      </c>
      <c r="W280" s="32">
        <f t="shared" si="468"/>
        <v>0</v>
      </c>
      <c r="X280" s="32">
        <f t="shared" si="468"/>
        <v>0</v>
      </c>
      <c r="Y280" s="32">
        <f t="shared" si="468"/>
        <v>0</v>
      </c>
      <c r="Z280" s="32">
        <f t="shared" si="468"/>
        <v>0</v>
      </c>
      <c r="AA280" s="32">
        <f t="shared" si="468"/>
        <v>0</v>
      </c>
      <c r="AB280" s="32">
        <f t="shared" si="468"/>
        <v>0</v>
      </c>
      <c r="AC280" s="32">
        <f t="shared" si="468"/>
        <v>0</v>
      </c>
      <c r="AD280" s="32">
        <f t="shared" si="465"/>
        <v>0</v>
      </c>
    </row>
    <row r="281" spans="1:30" ht="17.25" customHeight="1">
      <c r="A281" s="45"/>
      <c r="B281" s="13" t="s">
        <v>30</v>
      </c>
      <c r="C281" s="35"/>
      <c r="D281" s="36"/>
      <c r="E281" s="37"/>
      <c r="F281" s="38">
        <f>H281+I281+AD281</f>
        <v>29270</v>
      </c>
      <c r="G281" s="38">
        <v>0</v>
      </c>
      <c r="H281" s="38">
        <v>0</v>
      </c>
      <c r="I281" s="38">
        <f t="shared" si="466"/>
        <v>29270</v>
      </c>
      <c r="J281" s="38">
        <v>0</v>
      </c>
      <c r="K281" s="38">
        <v>0</v>
      </c>
      <c r="L281" s="38">
        <v>0</v>
      </c>
      <c r="M281" s="38">
        <v>3270</v>
      </c>
      <c r="N281" s="94">
        <v>11000</v>
      </c>
      <c r="O281" s="93">
        <v>15000</v>
      </c>
      <c r="P281" s="93">
        <v>0</v>
      </c>
      <c r="Q281" s="94">
        <v>0</v>
      </c>
      <c r="R281" s="94">
        <v>0</v>
      </c>
      <c r="S281" s="93">
        <v>0</v>
      </c>
      <c r="T281" s="38">
        <v>0</v>
      </c>
      <c r="U281" s="38">
        <v>0</v>
      </c>
      <c r="V281" s="38">
        <v>0</v>
      </c>
      <c r="W281" s="38">
        <v>0</v>
      </c>
      <c r="X281" s="38">
        <v>0</v>
      </c>
      <c r="Y281" s="38">
        <v>0</v>
      </c>
      <c r="Z281" s="38">
        <v>0</v>
      </c>
      <c r="AA281" s="38">
        <v>0</v>
      </c>
      <c r="AB281" s="38">
        <v>0</v>
      </c>
      <c r="AC281" s="38">
        <v>0</v>
      </c>
      <c r="AD281" s="32">
        <f t="shared" si="465"/>
        <v>0</v>
      </c>
    </row>
    <row r="282" spans="1:30" ht="21.75" customHeight="1">
      <c r="A282" s="25">
        <v>93</v>
      </c>
      <c r="B282" s="42" t="s">
        <v>193</v>
      </c>
      <c r="C282" s="29" t="s">
        <v>194</v>
      </c>
      <c r="D282" s="30" t="s">
        <v>126</v>
      </c>
      <c r="E282" s="31">
        <f>F283</f>
        <v>21457.896000000001</v>
      </c>
      <c r="F282" s="32">
        <v>18385.260000000002</v>
      </c>
      <c r="G282" s="33">
        <f>G283</f>
        <v>9522.5820000000003</v>
      </c>
      <c r="H282" s="33">
        <f>H283</f>
        <v>10714.675999999999</v>
      </c>
      <c r="I282" s="33">
        <f>SUM(K282:O282)</f>
        <v>5743.2199999999993</v>
      </c>
      <c r="J282" s="32">
        <f>J283</f>
        <v>1192.0940000000001</v>
      </c>
      <c r="K282" s="32">
        <f t="shared" ref="K282:Q282" si="469">K283</f>
        <v>257.34100000000001</v>
      </c>
      <c r="L282" s="32">
        <f t="shared" si="469"/>
        <v>795.904</v>
      </c>
      <c r="M282" s="32">
        <f t="shared" si="469"/>
        <v>882.33900000000006</v>
      </c>
      <c r="N282" s="95">
        <f t="shared" si="469"/>
        <v>824.63599999999997</v>
      </c>
      <c r="O282" s="95">
        <f t="shared" si="469"/>
        <v>2983</v>
      </c>
      <c r="P282" s="96">
        <f t="shared" si="469"/>
        <v>2000</v>
      </c>
      <c r="Q282" s="95">
        <f t="shared" si="469"/>
        <v>1000</v>
      </c>
      <c r="R282" s="95">
        <v>2000</v>
      </c>
      <c r="S282" s="95">
        <f t="shared" ref="S282:AC282" si="470">S283</f>
        <v>1000</v>
      </c>
      <c r="T282" s="32">
        <f t="shared" si="470"/>
        <v>1000</v>
      </c>
      <c r="U282" s="32">
        <f t="shared" si="470"/>
        <v>0</v>
      </c>
      <c r="V282" s="32">
        <f t="shared" si="470"/>
        <v>0</v>
      </c>
      <c r="W282" s="32">
        <f t="shared" si="470"/>
        <v>0</v>
      </c>
      <c r="X282" s="32">
        <f t="shared" si="470"/>
        <v>0</v>
      </c>
      <c r="Y282" s="32">
        <f t="shared" si="470"/>
        <v>0</v>
      </c>
      <c r="Z282" s="32">
        <f t="shared" si="470"/>
        <v>0</v>
      </c>
      <c r="AA282" s="32">
        <f t="shared" si="470"/>
        <v>0</v>
      </c>
      <c r="AB282" s="32">
        <f t="shared" si="470"/>
        <v>0</v>
      </c>
      <c r="AC282" s="32">
        <f t="shared" si="470"/>
        <v>0</v>
      </c>
      <c r="AD282" s="32">
        <f t="shared" si="465"/>
        <v>5000</v>
      </c>
    </row>
    <row r="283" spans="1:30" ht="17.25" customHeight="1">
      <c r="A283" s="45"/>
      <c r="B283" s="13" t="s">
        <v>30</v>
      </c>
      <c r="C283" s="35"/>
      <c r="D283" s="36"/>
      <c r="E283" s="37"/>
      <c r="F283" s="38">
        <f>H283+I283+AD283</f>
        <v>21457.896000000001</v>
      </c>
      <c r="G283" s="39">
        <v>9522.5820000000003</v>
      </c>
      <c r="H283" s="38">
        <v>10714.675999999999</v>
      </c>
      <c r="I283" s="38">
        <f>SUM(K283:O283)</f>
        <v>5743.2199999999993</v>
      </c>
      <c r="J283" s="38">
        <v>1192.0940000000001</v>
      </c>
      <c r="K283" s="38">
        <v>257.34100000000001</v>
      </c>
      <c r="L283" s="38">
        <v>795.904</v>
      </c>
      <c r="M283" s="38">
        <f>912.339-30</f>
        <v>882.33900000000006</v>
      </c>
      <c r="N283" s="94">
        <v>824.63599999999997</v>
      </c>
      <c r="O283" s="94">
        <v>2983</v>
      </c>
      <c r="P283" s="94">
        <v>2000</v>
      </c>
      <c r="Q283" s="94">
        <v>1000</v>
      </c>
      <c r="R283" s="94">
        <v>2000</v>
      </c>
      <c r="S283" s="94">
        <v>1000</v>
      </c>
      <c r="T283" s="38">
        <v>1000</v>
      </c>
      <c r="U283" s="38">
        <f>'[3]Programy PROJEKT'!AA598+'[3]Programy PROJEKT'!AB598</f>
        <v>0</v>
      </c>
      <c r="V283" s="38">
        <f>'[3]Programy PROJEKT'!AD598+'[3]Programy PROJEKT'!AE598</f>
        <v>0</v>
      </c>
      <c r="W283" s="38">
        <v>0</v>
      </c>
      <c r="X283" s="38">
        <v>0</v>
      </c>
      <c r="Y283" s="38">
        <v>0</v>
      </c>
      <c r="Z283" s="38">
        <v>0</v>
      </c>
      <c r="AA283" s="38">
        <v>0</v>
      </c>
      <c r="AB283" s="38">
        <v>0</v>
      </c>
      <c r="AC283" s="38">
        <v>0</v>
      </c>
      <c r="AD283" s="32">
        <f t="shared" si="465"/>
        <v>5000</v>
      </c>
    </row>
    <row r="284" spans="1:30" ht="21.75" customHeight="1">
      <c r="A284" s="25">
        <v>94</v>
      </c>
      <c r="B284" s="42" t="s">
        <v>195</v>
      </c>
      <c r="C284" s="29" t="s">
        <v>186</v>
      </c>
      <c r="D284" s="30" t="s">
        <v>73</v>
      </c>
      <c r="E284" s="31">
        <f>F285</f>
        <v>1829</v>
      </c>
      <c r="F284" s="32">
        <f>H284+I284+AD284</f>
        <v>1829</v>
      </c>
      <c r="G284" s="33">
        <f>G285</f>
        <v>0</v>
      </c>
      <c r="H284" s="33">
        <f>H285</f>
        <v>0</v>
      </c>
      <c r="I284" s="33">
        <f>SUM(K284:O284)</f>
        <v>1829</v>
      </c>
      <c r="J284" s="32">
        <f>J285</f>
        <v>0</v>
      </c>
      <c r="K284" s="32">
        <f t="shared" ref="K284:Q284" si="471">K285</f>
        <v>350</v>
      </c>
      <c r="L284" s="32">
        <f t="shared" si="471"/>
        <v>314</v>
      </c>
      <c r="M284" s="32">
        <f t="shared" si="471"/>
        <v>150</v>
      </c>
      <c r="N284" s="95">
        <f t="shared" si="471"/>
        <v>515</v>
      </c>
      <c r="O284" s="95">
        <f t="shared" si="471"/>
        <v>500</v>
      </c>
      <c r="P284" s="95">
        <f t="shared" si="471"/>
        <v>0</v>
      </c>
      <c r="Q284" s="95">
        <f t="shared" si="471"/>
        <v>0</v>
      </c>
      <c r="R284" s="95">
        <v>0</v>
      </c>
      <c r="S284" s="95">
        <f t="shared" ref="S284:AC284" si="472">S285</f>
        <v>0</v>
      </c>
      <c r="T284" s="32">
        <f t="shared" si="472"/>
        <v>0</v>
      </c>
      <c r="U284" s="32">
        <f t="shared" si="472"/>
        <v>0</v>
      </c>
      <c r="V284" s="32">
        <f t="shared" si="472"/>
        <v>0</v>
      </c>
      <c r="W284" s="32">
        <f t="shared" si="472"/>
        <v>0</v>
      </c>
      <c r="X284" s="32">
        <f t="shared" si="472"/>
        <v>0</v>
      </c>
      <c r="Y284" s="32">
        <f t="shared" si="472"/>
        <v>0</v>
      </c>
      <c r="Z284" s="32">
        <f t="shared" si="472"/>
        <v>0</v>
      </c>
      <c r="AA284" s="32">
        <f t="shared" si="472"/>
        <v>0</v>
      </c>
      <c r="AB284" s="32">
        <f t="shared" si="472"/>
        <v>0</v>
      </c>
      <c r="AC284" s="32">
        <f t="shared" si="472"/>
        <v>0</v>
      </c>
      <c r="AD284" s="32">
        <f t="shared" si="465"/>
        <v>0</v>
      </c>
    </row>
    <row r="285" spans="1:30" ht="17.25" customHeight="1">
      <c r="A285" s="45"/>
      <c r="B285" s="13" t="s">
        <v>30</v>
      </c>
      <c r="C285" s="35"/>
      <c r="D285" s="36"/>
      <c r="E285" s="37"/>
      <c r="F285" s="38">
        <f>H285+I285+AD285</f>
        <v>1829</v>
      </c>
      <c r="G285" s="39">
        <v>0</v>
      </c>
      <c r="H285" s="38">
        <v>0</v>
      </c>
      <c r="I285" s="38">
        <f>SUM(K285:O285)</f>
        <v>1829</v>
      </c>
      <c r="J285" s="38">
        <v>0</v>
      </c>
      <c r="K285" s="38">
        <v>350</v>
      </c>
      <c r="L285" s="38">
        <v>314</v>
      </c>
      <c r="M285" s="38">
        <f>500-350</f>
        <v>150</v>
      </c>
      <c r="N285" s="93">
        <v>515</v>
      </c>
      <c r="O285" s="93">
        <v>500</v>
      </c>
      <c r="P285" s="94">
        <v>0</v>
      </c>
      <c r="Q285" s="94">
        <v>0</v>
      </c>
      <c r="R285" s="94">
        <v>0</v>
      </c>
      <c r="S285" s="94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8">
        <v>0</v>
      </c>
      <c r="AA285" s="38">
        <v>0</v>
      </c>
      <c r="AB285" s="38">
        <v>0</v>
      </c>
      <c r="AC285" s="38">
        <v>0</v>
      </c>
      <c r="AD285" s="32">
        <f t="shared" si="465"/>
        <v>0</v>
      </c>
    </row>
    <row r="286" spans="1:30" ht="27" customHeight="1">
      <c r="A286" s="58">
        <v>95</v>
      </c>
      <c r="B286" s="42" t="s">
        <v>279</v>
      </c>
      <c r="C286" s="29" t="s">
        <v>278</v>
      </c>
      <c r="D286" s="54" t="s">
        <v>133</v>
      </c>
      <c r="E286" s="31">
        <f>F287</f>
        <v>9850.6829999999991</v>
      </c>
      <c r="F286" s="32">
        <f>F287+F288</f>
        <v>14767.385999999999</v>
      </c>
      <c r="G286" s="32">
        <f>G287+G288</f>
        <v>0</v>
      </c>
      <c r="H286" s="32">
        <f>H287+H288</f>
        <v>0</v>
      </c>
      <c r="I286" s="33">
        <f t="shared" ref="I286:I292" si="473">SUM(K286:O286)</f>
        <v>14767.385999999999</v>
      </c>
      <c r="J286" s="32">
        <f t="shared" ref="J286:Q286" si="474">J287+J288</f>
        <v>0</v>
      </c>
      <c r="K286" s="32">
        <f t="shared" si="474"/>
        <v>0</v>
      </c>
      <c r="L286" s="32">
        <f t="shared" si="474"/>
        <v>0</v>
      </c>
      <c r="M286" s="32">
        <f t="shared" si="474"/>
        <v>0</v>
      </c>
      <c r="N286" s="95">
        <f t="shared" si="474"/>
        <v>1086.0929999999998</v>
      </c>
      <c r="O286" s="95">
        <f t="shared" si="474"/>
        <v>13681.292999999998</v>
      </c>
      <c r="P286" s="95">
        <f t="shared" si="474"/>
        <v>0</v>
      </c>
      <c r="Q286" s="95">
        <f t="shared" si="474"/>
        <v>0</v>
      </c>
      <c r="R286" s="95">
        <v>0</v>
      </c>
      <c r="S286" s="95">
        <f t="shared" ref="S286:AC286" si="475">S287+S288</f>
        <v>0</v>
      </c>
      <c r="T286" s="32">
        <f t="shared" si="475"/>
        <v>0</v>
      </c>
      <c r="U286" s="32">
        <f t="shared" si="475"/>
        <v>0</v>
      </c>
      <c r="V286" s="32">
        <f t="shared" si="475"/>
        <v>0</v>
      </c>
      <c r="W286" s="32">
        <f t="shared" si="475"/>
        <v>0</v>
      </c>
      <c r="X286" s="32">
        <f t="shared" si="475"/>
        <v>0</v>
      </c>
      <c r="Y286" s="32">
        <f t="shared" si="475"/>
        <v>0</v>
      </c>
      <c r="Z286" s="32">
        <f t="shared" si="475"/>
        <v>0</v>
      </c>
      <c r="AA286" s="32">
        <f t="shared" si="475"/>
        <v>0</v>
      </c>
      <c r="AB286" s="32">
        <f t="shared" si="475"/>
        <v>0</v>
      </c>
      <c r="AC286" s="32">
        <f t="shared" si="475"/>
        <v>0</v>
      </c>
      <c r="AD286" s="32">
        <f t="shared" si="465"/>
        <v>0</v>
      </c>
    </row>
    <row r="287" spans="1:30" ht="17.25" customHeight="1">
      <c r="A287" s="45"/>
      <c r="B287" s="13" t="s">
        <v>30</v>
      </c>
      <c r="C287" s="35"/>
      <c r="D287" s="36"/>
      <c r="E287" s="37"/>
      <c r="F287" s="38">
        <f t="shared" ref="F287:F292" si="476">H287+I287+AD287</f>
        <v>9850.6829999999991</v>
      </c>
      <c r="G287" s="39">
        <v>0</v>
      </c>
      <c r="H287" s="38">
        <v>0</v>
      </c>
      <c r="I287" s="38">
        <f t="shared" si="473"/>
        <v>9850.6829999999991</v>
      </c>
      <c r="J287" s="38">
        <v>0</v>
      </c>
      <c r="K287" s="38">
        <v>0</v>
      </c>
      <c r="L287" s="38">
        <v>0</v>
      </c>
      <c r="M287" s="40">
        <v>0</v>
      </c>
      <c r="N287" s="93">
        <v>734.80399999999997</v>
      </c>
      <c r="O287" s="93">
        <v>9115.878999999999</v>
      </c>
      <c r="P287" s="94">
        <v>0</v>
      </c>
      <c r="Q287" s="94">
        <v>0</v>
      </c>
      <c r="R287" s="94">
        <v>0</v>
      </c>
      <c r="S287" s="94">
        <v>0</v>
      </c>
      <c r="T287" s="38">
        <v>0</v>
      </c>
      <c r="U287" s="38">
        <v>0</v>
      </c>
      <c r="V287" s="38">
        <v>0</v>
      </c>
      <c r="W287" s="38">
        <v>0</v>
      </c>
      <c r="X287" s="38">
        <v>0</v>
      </c>
      <c r="Y287" s="38">
        <v>0</v>
      </c>
      <c r="Z287" s="38">
        <v>0</v>
      </c>
      <c r="AA287" s="38">
        <v>0</v>
      </c>
      <c r="AB287" s="38">
        <v>0</v>
      </c>
      <c r="AC287" s="38">
        <v>0</v>
      </c>
      <c r="AD287" s="32">
        <f t="shared" si="465"/>
        <v>0</v>
      </c>
    </row>
    <row r="288" spans="1:30" ht="17.25" customHeight="1">
      <c r="A288" s="45"/>
      <c r="B288" s="43" t="s">
        <v>38</v>
      </c>
      <c r="C288" s="35"/>
      <c r="D288" s="36"/>
      <c r="E288" s="37"/>
      <c r="F288" s="38">
        <f t="shared" si="476"/>
        <v>4916.7029999999995</v>
      </c>
      <c r="G288" s="39">
        <v>0</v>
      </c>
      <c r="H288" s="38">
        <v>0</v>
      </c>
      <c r="I288" s="38">
        <f t="shared" si="473"/>
        <v>4916.7029999999995</v>
      </c>
      <c r="J288" s="38">
        <v>0</v>
      </c>
      <c r="K288" s="38">
        <v>0</v>
      </c>
      <c r="L288" s="38">
        <v>0</v>
      </c>
      <c r="M288" s="38">
        <v>0</v>
      </c>
      <c r="N288" s="93">
        <v>351.28899999999999</v>
      </c>
      <c r="O288" s="93">
        <v>4565.4139999999998</v>
      </c>
      <c r="P288" s="94">
        <v>0</v>
      </c>
      <c r="Q288" s="94">
        <v>0</v>
      </c>
      <c r="R288" s="94">
        <v>0</v>
      </c>
      <c r="S288" s="94">
        <v>0</v>
      </c>
      <c r="T288" s="38">
        <v>0</v>
      </c>
      <c r="U288" s="38">
        <v>0</v>
      </c>
      <c r="V288" s="38">
        <v>0</v>
      </c>
      <c r="W288" s="38">
        <v>0</v>
      </c>
      <c r="X288" s="38">
        <v>0</v>
      </c>
      <c r="Y288" s="38">
        <v>0</v>
      </c>
      <c r="Z288" s="38">
        <v>0</v>
      </c>
      <c r="AA288" s="38">
        <v>0</v>
      </c>
      <c r="AB288" s="38">
        <v>0</v>
      </c>
      <c r="AC288" s="38">
        <v>0</v>
      </c>
      <c r="AD288" s="32">
        <f t="shared" si="465"/>
        <v>0</v>
      </c>
    </row>
    <row r="289" spans="1:30" ht="21.75" customHeight="1">
      <c r="A289" s="25">
        <v>96</v>
      </c>
      <c r="B289" s="42" t="s">
        <v>95</v>
      </c>
      <c r="C289" s="29" t="s">
        <v>186</v>
      </c>
      <c r="D289" s="60" t="s">
        <v>84</v>
      </c>
      <c r="E289" s="31">
        <f>F290</f>
        <v>6837.91</v>
      </c>
      <c r="F289" s="32">
        <f t="shared" si="476"/>
        <v>6837.91</v>
      </c>
      <c r="G289" s="33">
        <f>G290</f>
        <v>0</v>
      </c>
      <c r="H289" s="33">
        <f>H290</f>
        <v>0</v>
      </c>
      <c r="I289" s="33">
        <f t="shared" si="473"/>
        <v>6287.91</v>
      </c>
      <c r="J289" s="32">
        <f>J290</f>
        <v>0</v>
      </c>
      <c r="K289" s="32">
        <f t="shared" ref="K289:P289" si="477">K290</f>
        <v>0</v>
      </c>
      <c r="L289" s="32">
        <f t="shared" si="477"/>
        <v>0</v>
      </c>
      <c r="M289" s="32">
        <f t="shared" si="477"/>
        <v>226.25</v>
      </c>
      <c r="N289" s="95">
        <f t="shared" si="477"/>
        <v>661.8</v>
      </c>
      <c r="O289" s="95">
        <f t="shared" si="477"/>
        <v>5399.86</v>
      </c>
      <c r="P289" s="95">
        <f t="shared" si="477"/>
        <v>550</v>
      </c>
      <c r="Q289" s="95">
        <v>0</v>
      </c>
      <c r="R289" s="95">
        <f t="shared" ref="R289:AC289" si="478">R290</f>
        <v>0</v>
      </c>
      <c r="S289" s="95">
        <f t="shared" si="478"/>
        <v>0</v>
      </c>
      <c r="T289" s="32">
        <f t="shared" si="478"/>
        <v>0</v>
      </c>
      <c r="U289" s="32">
        <f t="shared" si="478"/>
        <v>0</v>
      </c>
      <c r="V289" s="32">
        <f t="shared" si="478"/>
        <v>0</v>
      </c>
      <c r="W289" s="32">
        <f t="shared" si="478"/>
        <v>0</v>
      </c>
      <c r="X289" s="32">
        <f t="shared" si="478"/>
        <v>0</v>
      </c>
      <c r="Y289" s="32">
        <f t="shared" si="478"/>
        <v>0</v>
      </c>
      <c r="Z289" s="32">
        <f t="shared" si="478"/>
        <v>0</v>
      </c>
      <c r="AA289" s="32">
        <f t="shared" si="478"/>
        <v>0</v>
      </c>
      <c r="AB289" s="32">
        <f t="shared" si="478"/>
        <v>0</v>
      </c>
      <c r="AC289" s="32">
        <f t="shared" si="478"/>
        <v>0</v>
      </c>
      <c r="AD289" s="32">
        <f t="shared" si="465"/>
        <v>550</v>
      </c>
    </row>
    <row r="290" spans="1:30" ht="17.25" customHeight="1">
      <c r="A290" s="45"/>
      <c r="B290" s="13" t="s">
        <v>30</v>
      </c>
      <c r="C290" s="35"/>
      <c r="D290" s="36"/>
      <c r="E290" s="37"/>
      <c r="F290" s="38">
        <f t="shared" si="476"/>
        <v>6837.91</v>
      </c>
      <c r="G290" s="39">
        <v>0</v>
      </c>
      <c r="H290" s="38">
        <v>0</v>
      </c>
      <c r="I290" s="38">
        <f t="shared" si="473"/>
        <v>6287.91</v>
      </c>
      <c r="J290" s="38">
        <v>0</v>
      </c>
      <c r="K290" s="38">
        <v>0</v>
      </c>
      <c r="L290" s="38">
        <v>0</v>
      </c>
      <c r="M290" s="38">
        <f>505-278.75</f>
        <v>226.25</v>
      </c>
      <c r="N290" s="94">
        <v>661.8</v>
      </c>
      <c r="O290" s="93">
        <v>5399.86</v>
      </c>
      <c r="P290" s="94">
        <v>550</v>
      </c>
      <c r="Q290" s="94"/>
      <c r="R290" s="94">
        <v>0</v>
      </c>
      <c r="S290" s="94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2">
        <f t="shared" si="465"/>
        <v>550</v>
      </c>
    </row>
    <row r="291" spans="1:30" ht="21.75" customHeight="1">
      <c r="A291" s="25">
        <v>97</v>
      </c>
      <c r="B291" s="42" t="s">
        <v>121</v>
      </c>
      <c r="C291" s="29" t="s">
        <v>165</v>
      </c>
      <c r="D291" s="30" t="s">
        <v>236</v>
      </c>
      <c r="E291" s="31">
        <f>F292</f>
        <v>49554.561000000002</v>
      </c>
      <c r="F291" s="76">
        <f t="shared" si="476"/>
        <v>49554.561000000002</v>
      </c>
      <c r="G291" s="33">
        <f>G292</f>
        <v>0</v>
      </c>
      <c r="H291" s="33">
        <f>H292</f>
        <v>151</v>
      </c>
      <c r="I291" s="33">
        <f t="shared" si="473"/>
        <v>48353.561000000002</v>
      </c>
      <c r="J291" s="32">
        <f>J292</f>
        <v>151</v>
      </c>
      <c r="K291" s="32">
        <f t="shared" ref="K291:M291" si="479">K292</f>
        <v>4128.3599999999997</v>
      </c>
      <c r="L291" s="32">
        <f t="shared" si="479"/>
        <v>8083.14</v>
      </c>
      <c r="M291" s="32">
        <f t="shared" si="479"/>
        <v>8960.2690000000002</v>
      </c>
      <c r="N291" s="95">
        <f>N292</f>
        <v>9369.1490000000013</v>
      </c>
      <c r="O291" s="95">
        <f t="shared" ref="O291:Q291" si="480">O292</f>
        <v>17812.643</v>
      </c>
      <c r="P291" s="95">
        <f t="shared" si="480"/>
        <v>1050</v>
      </c>
      <c r="Q291" s="95">
        <f t="shared" si="480"/>
        <v>0</v>
      </c>
      <c r="R291" s="95">
        <v>0</v>
      </c>
      <c r="S291" s="95">
        <f t="shared" ref="S291:AC291" si="481">S292</f>
        <v>0</v>
      </c>
      <c r="T291" s="32">
        <f t="shared" si="481"/>
        <v>0</v>
      </c>
      <c r="U291" s="32">
        <f t="shared" si="481"/>
        <v>0</v>
      </c>
      <c r="V291" s="32">
        <f t="shared" si="481"/>
        <v>0</v>
      </c>
      <c r="W291" s="32">
        <f t="shared" si="481"/>
        <v>0</v>
      </c>
      <c r="X291" s="32">
        <f t="shared" si="481"/>
        <v>0</v>
      </c>
      <c r="Y291" s="32">
        <f t="shared" si="481"/>
        <v>0</v>
      </c>
      <c r="Z291" s="32">
        <f t="shared" si="481"/>
        <v>0</v>
      </c>
      <c r="AA291" s="32">
        <f t="shared" si="481"/>
        <v>0</v>
      </c>
      <c r="AB291" s="32">
        <f t="shared" si="481"/>
        <v>0</v>
      </c>
      <c r="AC291" s="32">
        <f t="shared" si="481"/>
        <v>0</v>
      </c>
      <c r="AD291" s="32">
        <f t="shared" si="465"/>
        <v>1050</v>
      </c>
    </row>
    <row r="292" spans="1:30" ht="17.25" customHeight="1">
      <c r="A292" s="45"/>
      <c r="B292" s="13" t="s">
        <v>30</v>
      </c>
      <c r="C292" s="35"/>
      <c r="D292" s="36"/>
      <c r="E292" s="37"/>
      <c r="F292" s="38">
        <f t="shared" si="476"/>
        <v>49554.561000000002</v>
      </c>
      <c r="G292" s="39">
        <v>0</v>
      </c>
      <c r="H292" s="38">
        <v>151</v>
      </c>
      <c r="I292" s="38">
        <f t="shared" si="473"/>
        <v>48353.561000000002</v>
      </c>
      <c r="J292" s="38">
        <v>151</v>
      </c>
      <c r="K292" s="38">
        <v>4128.3599999999997</v>
      </c>
      <c r="L292" s="38">
        <v>8083.14</v>
      </c>
      <c r="M292" s="40">
        <v>8960.2690000000002</v>
      </c>
      <c r="N292" s="94">
        <v>9369.1490000000013</v>
      </c>
      <c r="O292" s="93">
        <v>17812.643</v>
      </c>
      <c r="P292" s="94">
        <v>1050</v>
      </c>
      <c r="Q292" s="94">
        <v>0</v>
      </c>
      <c r="R292" s="94">
        <v>0</v>
      </c>
      <c r="S292" s="94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8">
        <v>0</v>
      </c>
      <c r="AC292" s="38">
        <v>0</v>
      </c>
      <c r="AD292" s="32">
        <f t="shared" si="465"/>
        <v>1050</v>
      </c>
    </row>
    <row r="293" spans="1:30" ht="21.75" customHeight="1">
      <c r="A293" s="57" t="s">
        <v>196</v>
      </c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108"/>
      <c r="O293" s="108"/>
      <c r="P293" s="108"/>
      <c r="Q293" s="108"/>
      <c r="R293" s="108"/>
      <c r="S293" s="108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32">
        <f t="shared" si="465"/>
        <v>0</v>
      </c>
    </row>
    <row r="294" spans="1:30" ht="21.75" customHeight="1">
      <c r="A294" s="25">
        <v>98</v>
      </c>
      <c r="B294" s="42" t="s">
        <v>197</v>
      </c>
      <c r="C294" s="29" t="s">
        <v>198</v>
      </c>
      <c r="D294" s="30" t="s">
        <v>199</v>
      </c>
      <c r="E294" s="31">
        <f>F295</f>
        <v>365082.65599999996</v>
      </c>
      <c r="F294" s="32">
        <f>F295+F296</f>
        <v>507061.18199999991</v>
      </c>
      <c r="G294" s="32">
        <f>G295+G296</f>
        <v>173913.96</v>
      </c>
      <c r="H294" s="32">
        <f>H295+H296</f>
        <v>345838.76899999997</v>
      </c>
      <c r="I294" s="33">
        <f t="shared" ref="I294:I310" si="482">SUM(K294:O294)</f>
        <v>161222.41299999997</v>
      </c>
      <c r="J294" s="32">
        <f t="shared" ref="J294:M294" si="483">J295+J296</f>
        <v>171924.80900000001</v>
      </c>
      <c r="K294" s="32">
        <f t="shared" si="483"/>
        <v>143421.55499999999</v>
      </c>
      <c r="L294" s="32">
        <f t="shared" si="483"/>
        <v>3693.1460000000002</v>
      </c>
      <c r="M294" s="32">
        <f t="shared" si="483"/>
        <v>5288.6120000000001</v>
      </c>
      <c r="N294" s="95">
        <f>N295</f>
        <v>4409.55</v>
      </c>
      <c r="O294" s="95">
        <f t="shared" ref="O294:Q294" si="484">O295</f>
        <v>4409.55</v>
      </c>
      <c r="P294" s="95">
        <f t="shared" si="484"/>
        <v>0</v>
      </c>
      <c r="Q294" s="95">
        <f t="shared" si="484"/>
        <v>0</v>
      </c>
      <c r="R294" s="95">
        <v>0</v>
      </c>
      <c r="S294" s="95">
        <v>0</v>
      </c>
      <c r="T294" s="32">
        <v>0</v>
      </c>
      <c r="U294" s="32">
        <v>0</v>
      </c>
      <c r="V294" s="32">
        <f t="shared" ref="V294:AC294" si="485">V295+V296</f>
        <v>0</v>
      </c>
      <c r="W294" s="32">
        <f t="shared" si="485"/>
        <v>0</v>
      </c>
      <c r="X294" s="32">
        <f t="shared" si="485"/>
        <v>0</v>
      </c>
      <c r="Y294" s="32">
        <f t="shared" si="485"/>
        <v>0</v>
      </c>
      <c r="Z294" s="32">
        <f t="shared" si="485"/>
        <v>0</v>
      </c>
      <c r="AA294" s="32">
        <f t="shared" si="485"/>
        <v>0</v>
      </c>
      <c r="AB294" s="32">
        <f t="shared" si="485"/>
        <v>0</v>
      </c>
      <c r="AC294" s="32">
        <f t="shared" si="485"/>
        <v>0</v>
      </c>
      <c r="AD294" s="32">
        <f t="shared" si="465"/>
        <v>0</v>
      </c>
    </row>
    <row r="295" spans="1:30" ht="17.25" customHeight="1">
      <c r="A295" s="45"/>
      <c r="B295" s="13" t="s">
        <v>30</v>
      </c>
      <c r="C295" s="35"/>
      <c r="D295" s="36"/>
      <c r="E295" s="37"/>
      <c r="F295" s="38">
        <f>H295+I295+AD295</f>
        <v>365082.65599999996</v>
      </c>
      <c r="G295" s="39">
        <v>128527.04399999999</v>
      </c>
      <c r="H295" s="38">
        <v>229558.93</v>
      </c>
      <c r="I295" s="38">
        <f t="shared" si="482"/>
        <v>135523.72599999997</v>
      </c>
      <c r="J295" s="38">
        <v>101031.886</v>
      </c>
      <c r="K295" s="38">
        <v>117722.868</v>
      </c>
      <c r="L295" s="38">
        <v>3693.1460000000002</v>
      </c>
      <c r="M295" s="40">
        <f>5325.6-400+400-36.988</f>
        <v>5288.6120000000001</v>
      </c>
      <c r="N295" s="93">
        <v>4409.55</v>
      </c>
      <c r="O295" s="97">
        <v>4409.55</v>
      </c>
      <c r="P295" s="94">
        <v>0</v>
      </c>
      <c r="Q295" s="94">
        <v>0</v>
      </c>
      <c r="R295" s="94">
        <v>0</v>
      </c>
      <c r="S295" s="94">
        <v>0</v>
      </c>
      <c r="T295" s="38">
        <v>0</v>
      </c>
      <c r="U295" s="38">
        <v>0</v>
      </c>
      <c r="V295" s="38">
        <v>0</v>
      </c>
      <c r="W295" s="38">
        <v>0</v>
      </c>
      <c r="X295" s="38">
        <v>0</v>
      </c>
      <c r="Y295" s="38">
        <v>0</v>
      </c>
      <c r="Z295" s="38">
        <v>0</v>
      </c>
      <c r="AA295" s="38">
        <v>0</v>
      </c>
      <c r="AB295" s="38">
        <v>0</v>
      </c>
      <c r="AC295" s="38">
        <v>0</v>
      </c>
      <c r="AD295" s="32">
        <f t="shared" si="465"/>
        <v>0</v>
      </c>
    </row>
    <row r="296" spans="1:30" ht="17.25" customHeight="1">
      <c r="A296" s="45"/>
      <c r="B296" s="43" t="s">
        <v>38</v>
      </c>
      <c r="C296" s="35"/>
      <c r="D296" s="36"/>
      <c r="E296" s="37"/>
      <c r="F296" s="38">
        <f>H296+I296+AD296</f>
        <v>141978.52599999998</v>
      </c>
      <c r="G296" s="39">
        <v>45386.915999999997</v>
      </c>
      <c r="H296" s="38">
        <v>116279.83899999999</v>
      </c>
      <c r="I296" s="38">
        <f t="shared" si="482"/>
        <v>25698.687000000002</v>
      </c>
      <c r="J296" s="38">
        <v>70892.922999999995</v>
      </c>
      <c r="K296" s="38">
        <v>25698.687000000002</v>
      </c>
      <c r="L296" s="38">
        <v>0</v>
      </c>
      <c r="M296" s="38">
        <v>0</v>
      </c>
      <c r="N296" s="94">
        <v>0</v>
      </c>
      <c r="O296" s="94">
        <v>0</v>
      </c>
      <c r="P296" s="94"/>
      <c r="Q296" s="94"/>
      <c r="R296" s="94">
        <v>0</v>
      </c>
      <c r="S296" s="94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2">
        <f t="shared" si="465"/>
        <v>0</v>
      </c>
    </row>
    <row r="297" spans="1:30" ht="21.75" customHeight="1">
      <c r="A297" s="58">
        <v>99</v>
      </c>
      <c r="B297" s="46" t="s">
        <v>121</v>
      </c>
      <c r="C297" s="29" t="s">
        <v>141</v>
      </c>
      <c r="D297" s="54" t="s">
        <v>112</v>
      </c>
      <c r="E297" s="31">
        <f>F298</f>
        <v>500</v>
      </c>
      <c r="F297" s="76">
        <f>H297+I297+AD297</f>
        <v>500</v>
      </c>
      <c r="G297" s="33">
        <f>G298</f>
        <v>25.75</v>
      </c>
      <c r="H297" s="33">
        <f>H298</f>
        <v>106.45</v>
      </c>
      <c r="I297" s="33">
        <f t="shared" si="482"/>
        <v>393.55</v>
      </c>
      <c r="J297" s="32">
        <f>J298</f>
        <v>80.7</v>
      </c>
      <c r="K297" s="32">
        <f t="shared" ref="K297:M297" si="486">K298</f>
        <v>393.55</v>
      </c>
      <c r="L297" s="32">
        <f t="shared" si="486"/>
        <v>0</v>
      </c>
      <c r="M297" s="32">
        <f t="shared" si="486"/>
        <v>0</v>
      </c>
      <c r="N297" s="95">
        <f>N298</f>
        <v>0</v>
      </c>
      <c r="O297" s="95">
        <f t="shared" ref="O297:Q297" si="487">O298</f>
        <v>0</v>
      </c>
      <c r="P297" s="95">
        <f t="shared" si="487"/>
        <v>0</v>
      </c>
      <c r="Q297" s="95">
        <f t="shared" si="487"/>
        <v>0</v>
      </c>
      <c r="R297" s="95">
        <v>0</v>
      </c>
      <c r="S297" s="95">
        <v>0</v>
      </c>
      <c r="T297" s="32">
        <v>0</v>
      </c>
      <c r="U297" s="32">
        <v>0</v>
      </c>
      <c r="V297" s="32">
        <f t="shared" ref="V297:AC297" si="488">V298</f>
        <v>0</v>
      </c>
      <c r="W297" s="32">
        <f t="shared" si="488"/>
        <v>0</v>
      </c>
      <c r="X297" s="32">
        <f t="shared" si="488"/>
        <v>0</v>
      </c>
      <c r="Y297" s="32">
        <f t="shared" si="488"/>
        <v>0</v>
      </c>
      <c r="Z297" s="32">
        <f t="shared" si="488"/>
        <v>0</v>
      </c>
      <c r="AA297" s="32">
        <f t="shared" si="488"/>
        <v>0</v>
      </c>
      <c r="AB297" s="32">
        <f t="shared" si="488"/>
        <v>0</v>
      </c>
      <c r="AC297" s="32">
        <f t="shared" si="488"/>
        <v>0</v>
      </c>
      <c r="AD297" s="32">
        <f t="shared" si="465"/>
        <v>0</v>
      </c>
    </row>
    <row r="298" spans="1:30" ht="17.25" customHeight="1">
      <c r="A298" s="45"/>
      <c r="B298" s="13" t="s">
        <v>30</v>
      </c>
      <c r="C298" s="35"/>
      <c r="D298" s="36"/>
      <c r="E298" s="37"/>
      <c r="F298" s="38">
        <f>H298+I298+AD298</f>
        <v>500</v>
      </c>
      <c r="G298" s="38">
        <v>25.75</v>
      </c>
      <c r="H298" s="38">
        <v>106.45</v>
      </c>
      <c r="I298" s="38">
        <f t="shared" si="482"/>
        <v>393.55</v>
      </c>
      <c r="J298" s="38">
        <v>80.7</v>
      </c>
      <c r="K298" s="38">
        <v>393.55</v>
      </c>
      <c r="L298" s="38">
        <v>0</v>
      </c>
      <c r="M298" s="40">
        <v>0</v>
      </c>
      <c r="N298" s="94">
        <v>0</v>
      </c>
      <c r="O298" s="94">
        <v>0</v>
      </c>
      <c r="P298" s="94">
        <v>0</v>
      </c>
      <c r="Q298" s="94">
        <v>0</v>
      </c>
      <c r="R298" s="94">
        <v>0</v>
      </c>
      <c r="S298" s="94">
        <v>0</v>
      </c>
      <c r="T298" s="38">
        <v>0</v>
      </c>
      <c r="U298" s="38">
        <v>0</v>
      </c>
      <c r="V298" s="38">
        <v>0</v>
      </c>
      <c r="W298" s="38">
        <v>0</v>
      </c>
      <c r="X298" s="38">
        <v>0</v>
      </c>
      <c r="Y298" s="38">
        <v>0</v>
      </c>
      <c r="Z298" s="38">
        <v>0</v>
      </c>
      <c r="AA298" s="38">
        <v>0</v>
      </c>
      <c r="AB298" s="38">
        <v>0</v>
      </c>
      <c r="AC298" s="38">
        <v>0</v>
      </c>
      <c r="AD298" s="32">
        <f t="shared" si="465"/>
        <v>0</v>
      </c>
    </row>
    <row r="299" spans="1:30" ht="39.75" customHeight="1">
      <c r="A299" s="58">
        <v>100</v>
      </c>
      <c r="B299" s="42" t="s">
        <v>200</v>
      </c>
      <c r="C299" s="29" t="s">
        <v>201</v>
      </c>
      <c r="D299" s="54" t="s">
        <v>191</v>
      </c>
      <c r="E299" s="31">
        <f>F300</f>
        <v>361.09500000000003</v>
      </c>
      <c r="F299" s="32">
        <v>641.55899999999997</v>
      </c>
      <c r="G299" s="33">
        <f>G300</f>
        <v>0</v>
      </c>
      <c r="H299" s="33">
        <f>H300</f>
        <v>0</v>
      </c>
      <c r="I299" s="33">
        <f t="shared" si="482"/>
        <v>361.09500000000003</v>
      </c>
      <c r="J299" s="32">
        <f>J300</f>
        <v>0</v>
      </c>
      <c r="K299" s="32">
        <f t="shared" ref="K299:M299" si="489">K300</f>
        <v>0</v>
      </c>
      <c r="L299" s="32">
        <f t="shared" si="489"/>
        <v>0</v>
      </c>
      <c r="M299" s="32">
        <f t="shared" si="489"/>
        <v>245.45500000000001</v>
      </c>
      <c r="N299" s="95">
        <f>N300</f>
        <v>115.64000000000001</v>
      </c>
      <c r="O299" s="95">
        <f t="shared" ref="O299:Q299" si="490">O300</f>
        <v>0</v>
      </c>
      <c r="P299" s="95">
        <f t="shared" si="490"/>
        <v>0</v>
      </c>
      <c r="Q299" s="95">
        <f t="shared" si="490"/>
        <v>0</v>
      </c>
      <c r="R299" s="95">
        <v>0</v>
      </c>
      <c r="S299" s="95">
        <v>0</v>
      </c>
      <c r="T299" s="32">
        <v>0</v>
      </c>
      <c r="U299" s="32">
        <v>0</v>
      </c>
      <c r="V299" s="32">
        <f t="shared" ref="V299:AC299" si="491">V300</f>
        <v>0</v>
      </c>
      <c r="W299" s="32">
        <f t="shared" si="491"/>
        <v>0</v>
      </c>
      <c r="X299" s="32">
        <f t="shared" si="491"/>
        <v>0</v>
      </c>
      <c r="Y299" s="32">
        <f t="shared" si="491"/>
        <v>0</v>
      </c>
      <c r="Z299" s="32">
        <f t="shared" si="491"/>
        <v>0</v>
      </c>
      <c r="AA299" s="32">
        <f t="shared" si="491"/>
        <v>0</v>
      </c>
      <c r="AB299" s="32">
        <f t="shared" si="491"/>
        <v>0</v>
      </c>
      <c r="AC299" s="32">
        <f t="shared" si="491"/>
        <v>0</v>
      </c>
      <c r="AD299" s="32">
        <f t="shared" si="465"/>
        <v>0</v>
      </c>
    </row>
    <row r="300" spans="1:30" ht="17.25" customHeight="1">
      <c r="A300" s="45"/>
      <c r="B300" s="13" t="s">
        <v>30</v>
      </c>
      <c r="C300" s="35"/>
      <c r="D300" s="36"/>
      <c r="E300" s="37"/>
      <c r="F300" s="38">
        <f>H300+I300+AD300</f>
        <v>361.09500000000003</v>
      </c>
      <c r="G300" s="38">
        <v>0</v>
      </c>
      <c r="H300" s="38">
        <v>0</v>
      </c>
      <c r="I300" s="38">
        <f t="shared" si="482"/>
        <v>361.09500000000003</v>
      </c>
      <c r="J300" s="38">
        <v>0</v>
      </c>
      <c r="K300" s="38">
        <v>0</v>
      </c>
      <c r="L300" s="38">
        <v>0</v>
      </c>
      <c r="M300" s="38">
        <v>245.45500000000001</v>
      </c>
      <c r="N300" s="94">
        <v>115.64000000000001</v>
      </c>
      <c r="O300" s="97">
        <v>0</v>
      </c>
      <c r="P300" s="94">
        <v>0</v>
      </c>
      <c r="Q300" s="94">
        <v>0</v>
      </c>
      <c r="R300" s="94">
        <v>0</v>
      </c>
      <c r="S300" s="94">
        <v>0</v>
      </c>
      <c r="T300" s="38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8">
        <v>0</v>
      </c>
      <c r="AA300" s="38">
        <v>0</v>
      </c>
      <c r="AB300" s="38">
        <v>0</v>
      </c>
      <c r="AC300" s="38">
        <v>0</v>
      </c>
      <c r="AD300" s="32">
        <f t="shared" si="465"/>
        <v>0</v>
      </c>
    </row>
    <row r="301" spans="1:30" ht="21.75" customHeight="1">
      <c r="A301" s="58">
        <v>101</v>
      </c>
      <c r="B301" s="42" t="s">
        <v>202</v>
      </c>
      <c r="C301" s="73" t="s">
        <v>203</v>
      </c>
      <c r="D301" s="54" t="s">
        <v>54</v>
      </c>
      <c r="E301" s="31">
        <f>F302</f>
        <v>10423.14</v>
      </c>
      <c r="F301" s="32">
        <v>10423.14</v>
      </c>
      <c r="G301" s="33">
        <f>G302</f>
        <v>0</v>
      </c>
      <c r="H301" s="33">
        <f>H302</f>
        <v>300</v>
      </c>
      <c r="I301" s="33">
        <f t="shared" si="482"/>
        <v>10123.14</v>
      </c>
      <c r="J301" s="32">
        <f>J302</f>
        <v>300</v>
      </c>
      <c r="K301" s="32">
        <f t="shared" ref="K301:M301" si="492">K302</f>
        <v>0</v>
      </c>
      <c r="L301" s="32">
        <f t="shared" si="492"/>
        <v>1753.14</v>
      </c>
      <c r="M301" s="32">
        <f t="shared" si="492"/>
        <v>1674</v>
      </c>
      <c r="N301" s="95">
        <f>N302</f>
        <v>6696</v>
      </c>
      <c r="O301" s="95">
        <f t="shared" ref="O301:Q301" si="493">O302</f>
        <v>0</v>
      </c>
      <c r="P301" s="96">
        <f t="shared" si="493"/>
        <v>0</v>
      </c>
      <c r="Q301" s="95">
        <f t="shared" si="493"/>
        <v>0</v>
      </c>
      <c r="R301" s="95">
        <v>0</v>
      </c>
      <c r="S301" s="95">
        <v>0</v>
      </c>
      <c r="T301" s="32">
        <v>0</v>
      </c>
      <c r="U301" s="32">
        <v>0</v>
      </c>
      <c r="V301" s="32">
        <f t="shared" ref="V301:AC301" si="494">V302</f>
        <v>0</v>
      </c>
      <c r="W301" s="32">
        <f t="shared" si="494"/>
        <v>0</v>
      </c>
      <c r="X301" s="32">
        <f t="shared" si="494"/>
        <v>0</v>
      </c>
      <c r="Y301" s="32">
        <f t="shared" si="494"/>
        <v>0</v>
      </c>
      <c r="Z301" s="32">
        <f t="shared" si="494"/>
        <v>0</v>
      </c>
      <c r="AA301" s="32">
        <f t="shared" si="494"/>
        <v>0</v>
      </c>
      <c r="AB301" s="32">
        <f t="shared" si="494"/>
        <v>0</v>
      </c>
      <c r="AC301" s="32">
        <f t="shared" si="494"/>
        <v>0</v>
      </c>
      <c r="AD301" s="32">
        <f t="shared" si="465"/>
        <v>0</v>
      </c>
    </row>
    <row r="302" spans="1:30" ht="17.25" customHeight="1">
      <c r="A302" s="45"/>
      <c r="B302" s="13" t="s">
        <v>30</v>
      </c>
      <c r="C302" s="35"/>
      <c r="D302" s="36"/>
      <c r="E302" s="37"/>
      <c r="F302" s="38">
        <f>H302+I302+AD302</f>
        <v>10423.14</v>
      </c>
      <c r="G302" s="38">
        <v>0</v>
      </c>
      <c r="H302" s="38">
        <v>300</v>
      </c>
      <c r="I302" s="38">
        <f t="shared" si="482"/>
        <v>10123.14</v>
      </c>
      <c r="J302" s="38">
        <v>300</v>
      </c>
      <c r="K302" s="38">
        <v>0</v>
      </c>
      <c r="L302" s="38">
        <v>1753.14</v>
      </c>
      <c r="M302" s="38">
        <v>1674</v>
      </c>
      <c r="N302" s="94">
        <v>6696</v>
      </c>
      <c r="O302" s="94">
        <v>0</v>
      </c>
      <c r="P302" s="94">
        <v>0</v>
      </c>
      <c r="Q302" s="94">
        <v>0</v>
      </c>
      <c r="R302" s="94">
        <v>0</v>
      </c>
      <c r="S302" s="94">
        <v>0</v>
      </c>
      <c r="T302" s="38">
        <v>0</v>
      </c>
      <c r="U302" s="38">
        <v>0</v>
      </c>
      <c r="V302" s="38">
        <v>0</v>
      </c>
      <c r="W302" s="38">
        <v>0</v>
      </c>
      <c r="X302" s="38">
        <v>0</v>
      </c>
      <c r="Y302" s="38">
        <v>0</v>
      </c>
      <c r="Z302" s="38">
        <v>0</v>
      </c>
      <c r="AA302" s="38">
        <v>0</v>
      </c>
      <c r="AB302" s="38">
        <v>0</v>
      </c>
      <c r="AC302" s="38">
        <v>0</v>
      </c>
      <c r="AD302" s="32">
        <f t="shared" si="465"/>
        <v>0</v>
      </c>
    </row>
    <row r="303" spans="1:30" ht="38.25" customHeight="1">
      <c r="A303" s="58">
        <v>102</v>
      </c>
      <c r="B303" s="42" t="s">
        <v>204</v>
      </c>
      <c r="C303" s="29" t="s">
        <v>141</v>
      </c>
      <c r="D303" s="54" t="s">
        <v>205</v>
      </c>
      <c r="E303" s="31">
        <f>F304</f>
        <v>20014</v>
      </c>
      <c r="F303" s="32">
        <v>19300</v>
      </c>
      <c r="G303" s="33">
        <f>G304</f>
        <v>0</v>
      </c>
      <c r="H303" s="33">
        <f>H304</f>
        <v>9</v>
      </c>
      <c r="I303" s="33">
        <f t="shared" si="482"/>
        <v>3305</v>
      </c>
      <c r="J303" s="32">
        <f>J304</f>
        <v>0</v>
      </c>
      <c r="K303" s="32">
        <f t="shared" ref="K303:Q303" si="495">K304</f>
        <v>0</v>
      </c>
      <c r="L303" s="32">
        <f t="shared" si="495"/>
        <v>0</v>
      </c>
      <c r="M303" s="32">
        <f t="shared" si="495"/>
        <v>0</v>
      </c>
      <c r="N303" s="95">
        <f t="shared" si="495"/>
        <v>0</v>
      </c>
      <c r="O303" s="95">
        <f t="shared" si="495"/>
        <v>3305</v>
      </c>
      <c r="P303" s="95">
        <f t="shared" si="495"/>
        <v>2500</v>
      </c>
      <c r="Q303" s="95">
        <f t="shared" si="495"/>
        <v>2000</v>
      </c>
      <c r="R303" s="95">
        <v>12200</v>
      </c>
      <c r="S303" s="95">
        <v>12200</v>
      </c>
      <c r="T303" s="32">
        <v>0</v>
      </c>
      <c r="U303" s="32">
        <v>0</v>
      </c>
      <c r="V303" s="32">
        <f t="shared" ref="V303:AC303" si="496">V304</f>
        <v>0</v>
      </c>
      <c r="W303" s="32">
        <f t="shared" si="496"/>
        <v>0</v>
      </c>
      <c r="X303" s="32">
        <f t="shared" si="496"/>
        <v>0</v>
      </c>
      <c r="Y303" s="32">
        <f t="shared" si="496"/>
        <v>0</v>
      </c>
      <c r="Z303" s="32">
        <f t="shared" si="496"/>
        <v>0</v>
      </c>
      <c r="AA303" s="32">
        <f t="shared" si="496"/>
        <v>0</v>
      </c>
      <c r="AB303" s="32">
        <f t="shared" si="496"/>
        <v>0</v>
      </c>
      <c r="AC303" s="32">
        <f t="shared" si="496"/>
        <v>0</v>
      </c>
      <c r="AD303" s="32">
        <f t="shared" si="465"/>
        <v>16700</v>
      </c>
    </row>
    <row r="304" spans="1:30" ht="17.25" customHeight="1">
      <c r="A304" s="45"/>
      <c r="B304" s="13" t="s">
        <v>30</v>
      </c>
      <c r="C304" s="35"/>
      <c r="D304" s="36"/>
      <c r="E304" s="37"/>
      <c r="F304" s="38">
        <f>H304+I304+AD304</f>
        <v>20014</v>
      </c>
      <c r="G304" s="38">
        <v>0</v>
      </c>
      <c r="H304" s="38">
        <v>9</v>
      </c>
      <c r="I304" s="38">
        <f t="shared" si="482"/>
        <v>3305</v>
      </c>
      <c r="J304" s="38">
        <v>0</v>
      </c>
      <c r="K304" s="38">
        <v>0</v>
      </c>
      <c r="L304" s="38">
        <v>0</v>
      </c>
      <c r="M304" s="38">
        <v>0</v>
      </c>
      <c r="N304" s="94">
        <v>0</v>
      </c>
      <c r="O304" s="97">
        <v>3305</v>
      </c>
      <c r="P304" s="93">
        <v>2500</v>
      </c>
      <c r="Q304" s="94">
        <v>2000</v>
      </c>
      <c r="R304" s="94">
        <v>12200</v>
      </c>
      <c r="S304" s="93">
        <v>12200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8">
        <v>0</v>
      </c>
      <c r="AA304" s="38">
        <v>0</v>
      </c>
      <c r="AB304" s="38">
        <v>0</v>
      </c>
      <c r="AC304" s="38">
        <v>0</v>
      </c>
      <c r="AD304" s="32">
        <f t="shared" si="465"/>
        <v>16700</v>
      </c>
    </row>
    <row r="305" spans="1:30" ht="28.5" customHeight="1">
      <c r="A305" s="58">
        <v>103</v>
      </c>
      <c r="B305" s="42" t="s">
        <v>239</v>
      </c>
      <c r="C305" s="29" t="s">
        <v>206</v>
      </c>
      <c r="D305" s="54" t="s">
        <v>47</v>
      </c>
      <c r="E305" s="31">
        <f>F306</f>
        <v>9730.6</v>
      </c>
      <c r="F305" s="32">
        <f>F306+F307</f>
        <v>9730.6</v>
      </c>
      <c r="G305" s="32">
        <f>G306+G307</f>
        <v>0</v>
      </c>
      <c r="H305" s="32">
        <f>H306+H307</f>
        <v>0</v>
      </c>
      <c r="I305" s="33">
        <f t="shared" si="482"/>
        <v>9730.6</v>
      </c>
      <c r="J305" s="32">
        <f>J306+J307</f>
        <v>0</v>
      </c>
      <c r="K305" s="32">
        <f t="shared" ref="K305:M305" si="497">K306+K307</f>
        <v>0</v>
      </c>
      <c r="L305" s="32">
        <f t="shared" si="497"/>
        <v>24.6</v>
      </c>
      <c r="M305" s="32">
        <f t="shared" si="497"/>
        <v>0</v>
      </c>
      <c r="N305" s="95">
        <f>N306+N307</f>
        <v>7706</v>
      </c>
      <c r="O305" s="95">
        <f t="shared" ref="O305:Q305" si="498">O306+O307</f>
        <v>2000</v>
      </c>
      <c r="P305" s="95">
        <f t="shared" si="498"/>
        <v>0</v>
      </c>
      <c r="Q305" s="95">
        <f t="shared" si="498"/>
        <v>0</v>
      </c>
      <c r="R305" s="95">
        <v>0</v>
      </c>
      <c r="S305" s="95">
        <v>0</v>
      </c>
      <c r="T305" s="32">
        <v>0</v>
      </c>
      <c r="U305" s="32">
        <v>0</v>
      </c>
      <c r="V305" s="32">
        <f t="shared" ref="V305:AC305" si="499">V306+V307</f>
        <v>0</v>
      </c>
      <c r="W305" s="32">
        <f t="shared" si="499"/>
        <v>0</v>
      </c>
      <c r="X305" s="32">
        <f t="shared" si="499"/>
        <v>0</v>
      </c>
      <c r="Y305" s="32">
        <f t="shared" si="499"/>
        <v>0</v>
      </c>
      <c r="Z305" s="32">
        <f t="shared" si="499"/>
        <v>0</v>
      </c>
      <c r="AA305" s="32">
        <f t="shared" si="499"/>
        <v>0</v>
      </c>
      <c r="AB305" s="32">
        <f t="shared" si="499"/>
        <v>0</v>
      </c>
      <c r="AC305" s="32">
        <f t="shared" si="499"/>
        <v>0</v>
      </c>
      <c r="AD305" s="32">
        <f t="shared" si="465"/>
        <v>0</v>
      </c>
    </row>
    <row r="306" spans="1:30" ht="17.25" customHeight="1">
      <c r="A306" s="77"/>
      <c r="B306" s="13" t="s">
        <v>30</v>
      </c>
      <c r="C306" s="35"/>
      <c r="D306" s="78"/>
      <c r="E306" s="79"/>
      <c r="F306" s="38">
        <f>H306+I306+AD306</f>
        <v>9730.6</v>
      </c>
      <c r="G306" s="38">
        <v>0</v>
      </c>
      <c r="H306" s="38">
        <v>0</v>
      </c>
      <c r="I306" s="38">
        <f t="shared" si="482"/>
        <v>9730.6</v>
      </c>
      <c r="J306" s="52">
        <v>0</v>
      </c>
      <c r="K306" s="52">
        <v>0</v>
      </c>
      <c r="L306" s="38">
        <v>24.6</v>
      </c>
      <c r="M306" s="38">
        <v>0</v>
      </c>
      <c r="N306" s="94">
        <v>7706</v>
      </c>
      <c r="O306" s="97">
        <v>2000</v>
      </c>
      <c r="P306" s="94">
        <v>0</v>
      </c>
      <c r="Q306" s="94">
        <v>0</v>
      </c>
      <c r="R306" s="94">
        <v>0</v>
      </c>
      <c r="S306" s="94">
        <v>0</v>
      </c>
      <c r="T306" s="38">
        <v>0</v>
      </c>
      <c r="U306" s="38">
        <v>0</v>
      </c>
      <c r="V306" s="38">
        <v>0</v>
      </c>
      <c r="W306" s="38">
        <v>0</v>
      </c>
      <c r="X306" s="38">
        <v>0</v>
      </c>
      <c r="Y306" s="38">
        <v>0</v>
      </c>
      <c r="Z306" s="38">
        <v>0</v>
      </c>
      <c r="AA306" s="38">
        <v>0</v>
      </c>
      <c r="AB306" s="38">
        <v>0</v>
      </c>
      <c r="AC306" s="38">
        <v>0</v>
      </c>
      <c r="AD306" s="32">
        <f t="shared" si="465"/>
        <v>0</v>
      </c>
    </row>
    <row r="307" spans="1:30" ht="17.25" customHeight="1">
      <c r="A307" s="45"/>
      <c r="B307" s="13" t="s">
        <v>38</v>
      </c>
      <c r="C307" s="35"/>
      <c r="D307" s="36"/>
      <c r="E307" s="37"/>
      <c r="F307" s="38">
        <f>H307+I307+AD307</f>
        <v>0</v>
      </c>
      <c r="G307" s="38">
        <v>0</v>
      </c>
      <c r="H307" s="38">
        <v>0</v>
      </c>
      <c r="I307" s="38">
        <f t="shared" si="482"/>
        <v>0</v>
      </c>
      <c r="J307" s="38">
        <v>0</v>
      </c>
      <c r="K307" s="38">
        <v>0</v>
      </c>
      <c r="L307" s="38">
        <v>0</v>
      </c>
      <c r="M307" s="38">
        <v>0</v>
      </c>
      <c r="N307" s="94">
        <v>0</v>
      </c>
      <c r="O307" s="94">
        <v>0</v>
      </c>
      <c r="P307" s="94">
        <v>0</v>
      </c>
      <c r="Q307" s="94">
        <v>0</v>
      </c>
      <c r="R307" s="94">
        <v>0</v>
      </c>
      <c r="S307" s="94">
        <v>0</v>
      </c>
      <c r="T307" s="38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8">
        <v>0</v>
      </c>
      <c r="AA307" s="38">
        <v>0</v>
      </c>
      <c r="AB307" s="38">
        <v>0</v>
      </c>
      <c r="AC307" s="38">
        <v>0</v>
      </c>
      <c r="AD307" s="32">
        <f t="shared" si="465"/>
        <v>0</v>
      </c>
    </row>
    <row r="308" spans="1:30" ht="24" customHeight="1">
      <c r="A308" s="58">
        <v>104</v>
      </c>
      <c r="B308" s="42" t="s">
        <v>207</v>
      </c>
      <c r="C308" s="29" t="s">
        <v>75</v>
      </c>
      <c r="D308" s="54" t="s">
        <v>269</v>
      </c>
      <c r="E308" s="31">
        <f>F309</f>
        <v>208.73500000000001</v>
      </c>
      <c r="F308" s="32">
        <f>F309+F310</f>
        <v>208.73500000000001</v>
      </c>
      <c r="G308" s="32">
        <f>G309+G310</f>
        <v>0</v>
      </c>
      <c r="H308" s="32">
        <f>H309+H310</f>
        <v>0</v>
      </c>
      <c r="I308" s="33">
        <f t="shared" si="482"/>
        <v>208.73500000000001</v>
      </c>
      <c r="J308" s="32">
        <f>J309+J310</f>
        <v>0</v>
      </c>
      <c r="K308" s="32">
        <f t="shared" ref="K308:M308" si="500">K309+K310</f>
        <v>0</v>
      </c>
      <c r="L308" s="32">
        <f t="shared" si="500"/>
        <v>0</v>
      </c>
      <c r="M308" s="32">
        <f t="shared" si="500"/>
        <v>202.46200000000002</v>
      </c>
      <c r="N308" s="95">
        <v>6.2729999999999997</v>
      </c>
      <c r="O308" s="95">
        <v>0</v>
      </c>
      <c r="P308" s="95">
        <v>0</v>
      </c>
      <c r="Q308" s="95">
        <v>0</v>
      </c>
      <c r="R308" s="95">
        <v>0</v>
      </c>
      <c r="S308" s="95">
        <v>0</v>
      </c>
      <c r="T308" s="32">
        <v>0</v>
      </c>
      <c r="U308" s="32">
        <v>0</v>
      </c>
      <c r="V308" s="32">
        <f t="shared" ref="V308:AC308" si="501">V309+V310</f>
        <v>0</v>
      </c>
      <c r="W308" s="32">
        <f t="shared" si="501"/>
        <v>0</v>
      </c>
      <c r="X308" s="32">
        <f t="shared" si="501"/>
        <v>0</v>
      </c>
      <c r="Y308" s="32">
        <f t="shared" si="501"/>
        <v>0</v>
      </c>
      <c r="Z308" s="32">
        <f t="shared" si="501"/>
        <v>0</v>
      </c>
      <c r="AA308" s="32">
        <f t="shared" si="501"/>
        <v>0</v>
      </c>
      <c r="AB308" s="32">
        <f t="shared" si="501"/>
        <v>0</v>
      </c>
      <c r="AC308" s="32">
        <f t="shared" si="501"/>
        <v>0</v>
      </c>
      <c r="AD308" s="32">
        <f t="shared" si="465"/>
        <v>0</v>
      </c>
    </row>
    <row r="309" spans="1:30" ht="17.25" customHeight="1">
      <c r="A309" s="77"/>
      <c r="B309" s="13" t="s">
        <v>30</v>
      </c>
      <c r="C309" s="35"/>
      <c r="D309" s="78"/>
      <c r="E309" s="79"/>
      <c r="F309" s="38">
        <f>H309+I309+AD309</f>
        <v>208.73500000000001</v>
      </c>
      <c r="G309" s="38">
        <v>0</v>
      </c>
      <c r="H309" s="38">
        <v>0</v>
      </c>
      <c r="I309" s="38">
        <f t="shared" si="482"/>
        <v>208.73500000000001</v>
      </c>
      <c r="J309" s="52">
        <v>0</v>
      </c>
      <c r="K309" s="52">
        <v>0</v>
      </c>
      <c r="L309" s="38">
        <v>0</v>
      </c>
      <c r="M309" s="38">
        <f>208.735-6.273</f>
        <v>202.46200000000002</v>
      </c>
      <c r="N309" s="94">
        <v>6.2729999999999997</v>
      </c>
      <c r="O309" s="94">
        <v>0</v>
      </c>
      <c r="P309" s="94">
        <v>0</v>
      </c>
      <c r="Q309" s="94">
        <v>0</v>
      </c>
      <c r="R309" s="94">
        <v>0</v>
      </c>
      <c r="S309" s="114">
        <v>0</v>
      </c>
      <c r="T309" s="38">
        <v>0</v>
      </c>
      <c r="U309" s="38">
        <v>0</v>
      </c>
      <c r="V309" s="38">
        <v>0</v>
      </c>
      <c r="W309" s="38">
        <v>0</v>
      </c>
      <c r="X309" s="38">
        <v>0</v>
      </c>
      <c r="Y309" s="38">
        <v>0</v>
      </c>
      <c r="Z309" s="38">
        <v>0</v>
      </c>
      <c r="AA309" s="38">
        <v>0</v>
      </c>
      <c r="AB309" s="38">
        <v>0</v>
      </c>
      <c r="AC309" s="38">
        <v>0</v>
      </c>
      <c r="AD309" s="32">
        <f t="shared" ref="AD309:AD337" si="502">P309+Q309+R309</f>
        <v>0</v>
      </c>
    </row>
    <row r="310" spans="1:30" ht="17.25" customHeight="1">
      <c r="A310" s="45"/>
      <c r="B310" s="13" t="s">
        <v>38</v>
      </c>
      <c r="C310" s="35"/>
      <c r="D310" s="36"/>
      <c r="E310" s="37"/>
      <c r="F310" s="38">
        <f>H310+I310+AD310</f>
        <v>0</v>
      </c>
      <c r="G310" s="38">
        <v>0</v>
      </c>
      <c r="H310" s="38">
        <v>0</v>
      </c>
      <c r="I310" s="38">
        <f t="shared" si="482"/>
        <v>0</v>
      </c>
      <c r="J310" s="38">
        <v>0</v>
      </c>
      <c r="K310" s="38">
        <v>0</v>
      </c>
      <c r="L310" s="38">
        <v>0</v>
      </c>
      <c r="M310" s="38">
        <v>0</v>
      </c>
      <c r="N310" s="94">
        <v>0</v>
      </c>
      <c r="O310" s="94">
        <v>0</v>
      </c>
      <c r="P310" s="94">
        <v>0</v>
      </c>
      <c r="Q310" s="94">
        <v>0</v>
      </c>
      <c r="R310" s="94">
        <v>0</v>
      </c>
      <c r="S310" s="114">
        <v>0</v>
      </c>
      <c r="T310" s="38">
        <v>0</v>
      </c>
      <c r="U310" s="38">
        <v>0</v>
      </c>
      <c r="V310" s="38">
        <v>0</v>
      </c>
      <c r="W310" s="38">
        <v>0</v>
      </c>
      <c r="X310" s="38">
        <v>0</v>
      </c>
      <c r="Y310" s="38">
        <v>0</v>
      </c>
      <c r="Z310" s="38">
        <v>0</v>
      </c>
      <c r="AA310" s="38">
        <v>0</v>
      </c>
      <c r="AB310" s="38">
        <v>0</v>
      </c>
      <c r="AC310" s="38">
        <v>0</v>
      </c>
      <c r="AD310" s="32">
        <f t="shared" si="502"/>
        <v>0</v>
      </c>
    </row>
    <row r="311" spans="1:30" ht="21.75" customHeight="1">
      <c r="A311" s="58">
        <v>105</v>
      </c>
      <c r="B311" s="42" t="s">
        <v>208</v>
      </c>
      <c r="C311" s="29" t="s">
        <v>288</v>
      </c>
      <c r="D311" s="54" t="s">
        <v>84</v>
      </c>
      <c r="E311" s="31">
        <f>F312</f>
        <v>4087.413</v>
      </c>
      <c r="F311" s="32">
        <f>F312+F313</f>
        <v>8752.3130000000001</v>
      </c>
      <c r="G311" s="32">
        <f>G312+G313</f>
        <v>0</v>
      </c>
      <c r="H311" s="32">
        <f>H312+H313</f>
        <v>0</v>
      </c>
      <c r="I311" s="33">
        <f t="shared" ref="I311:I317" si="503">SUM(K311:O311)</f>
        <v>8752.3130000000001</v>
      </c>
      <c r="J311" s="32">
        <f t="shared" ref="J311:M311" si="504">J312+J313</f>
        <v>0</v>
      </c>
      <c r="K311" s="32">
        <f t="shared" si="504"/>
        <v>0</v>
      </c>
      <c r="L311" s="32">
        <f t="shared" si="504"/>
        <v>0</v>
      </c>
      <c r="M311" s="32">
        <f t="shared" si="504"/>
        <v>354.58100000000002</v>
      </c>
      <c r="N311" s="95">
        <f>N312+N313</f>
        <v>2732.2640000000001</v>
      </c>
      <c r="O311" s="95">
        <f t="shared" ref="O311:Q311" si="505">O312+O313</f>
        <v>5665.4679999999998</v>
      </c>
      <c r="P311" s="95">
        <f t="shared" si="505"/>
        <v>0</v>
      </c>
      <c r="Q311" s="95">
        <f t="shared" si="505"/>
        <v>0</v>
      </c>
      <c r="R311" s="95">
        <v>0</v>
      </c>
      <c r="S311" s="95">
        <v>0</v>
      </c>
      <c r="T311" s="32">
        <v>0</v>
      </c>
      <c r="U311" s="32">
        <v>0</v>
      </c>
      <c r="V311" s="32">
        <f t="shared" ref="V311:AC311" si="506">V312+V313</f>
        <v>0</v>
      </c>
      <c r="W311" s="32">
        <f t="shared" si="506"/>
        <v>0</v>
      </c>
      <c r="X311" s="32">
        <f t="shared" si="506"/>
        <v>0</v>
      </c>
      <c r="Y311" s="32">
        <f t="shared" si="506"/>
        <v>0</v>
      </c>
      <c r="Z311" s="32">
        <f t="shared" si="506"/>
        <v>0</v>
      </c>
      <c r="AA311" s="32">
        <f t="shared" si="506"/>
        <v>0</v>
      </c>
      <c r="AB311" s="32">
        <f t="shared" si="506"/>
        <v>0</v>
      </c>
      <c r="AC311" s="32">
        <f t="shared" si="506"/>
        <v>0</v>
      </c>
      <c r="AD311" s="32">
        <f t="shared" si="502"/>
        <v>0</v>
      </c>
    </row>
    <row r="312" spans="1:30" ht="17.25" customHeight="1">
      <c r="A312" s="77"/>
      <c r="B312" s="13" t="s">
        <v>30</v>
      </c>
      <c r="C312" s="35"/>
      <c r="D312" s="78"/>
      <c r="E312" s="79"/>
      <c r="F312" s="38">
        <f t="shared" ref="F312:F317" si="507">H312+I312+AD312</f>
        <v>4087.413</v>
      </c>
      <c r="G312" s="38">
        <v>0</v>
      </c>
      <c r="H312" s="38">
        <v>0</v>
      </c>
      <c r="I312" s="38">
        <f t="shared" si="503"/>
        <v>4087.413</v>
      </c>
      <c r="J312" s="52">
        <v>0</v>
      </c>
      <c r="K312" s="52">
        <v>0</v>
      </c>
      <c r="L312" s="38">
        <v>0</v>
      </c>
      <c r="M312" s="40">
        <f>101.272+15.082</f>
        <v>116.35400000000001</v>
      </c>
      <c r="N312" s="94">
        <v>845.26900000000001</v>
      </c>
      <c r="O312" s="97">
        <v>3125.79</v>
      </c>
      <c r="P312" s="94">
        <v>0</v>
      </c>
      <c r="Q312" s="94">
        <v>0</v>
      </c>
      <c r="R312" s="94">
        <v>0</v>
      </c>
      <c r="S312" s="94">
        <v>0</v>
      </c>
      <c r="T312" s="38">
        <v>0</v>
      </c>
      <c r="U312" s="38">
        <v>0</v>
      </c>
      <c r="V312" s="38">
        <v>0</v>
      </c>
      <c r="W312" s="38">
        <v>0</v>
      </c>
      <c r="X312" s="38">
        <v>0</v>
      </c>
      <c r="Y312" s="38">
        <v>0</v>
      </c>
      <c r="Z312" s="38">
        <v>0</v>
      </c>
      <c r="AA312" s="38">
        <v>0</v>
      </c>
      <c r="AB312" s="38">
        <v>0</v>
      </c>
      <c r="AC312" s="38">
        <v>0</v>
      </c>
      <c r="AD312" s="32">
        <f t="shared" si="502"/>
        <v>0</v>
      </c>
    </row>
    <row r="313" spans="1:30" ht="17.25" customHeight="1">
      <c r="A313" s="45"/>
      <c r="B313" s="13" t="s">
        <v>38</v>
      </c>
      <c r="C313" s="35"/>
      <c r="D313" s="36"/>
      <c r="E313" s="37"/>
      <c r="F313" s="38">
        <f t="shared" si="507"/>
        <v>4664.8999999999996</v>
      </c>
      <c r="G313" s="38">
        <v>0</v>
      </c>
      <c r="H313" s="38">
        <v>0</v>
      </c>
      <c r="I313" s="38">
        <f t="shared" si="503"/>
        <v>4664.8999999999996</v>
      </c>
      <c r="J313" s="38">
        <v>0</v>
      </c>
      <c r="K313" s="38">
        <v>0</v>
      </c>
      <c r="L313" s="38">
        <v>0</v>
      </c>
      <c r="M313" s="38">
        <v>238.227</v>
      </c>
      <c r="N313" s="94">
        <v>1886.9949999999999</v>
      </c>
      <c r="O313" s="97">
        <v>2539.6779999999999</v>
      </c>
      <c r="P313" s="94">
        <v>0</v>
      </c>
      <c r="Q313" s="94">
        <v>0</v>
      </c>
      <c r="R313" s="94">
        <v>0</v>
      </c>
      <c r="S313" s="94">
        <v>0</v>
      </c>
      <c r="T313" s="38">
        <v>0</v>
      </c>
      <c r="U313" s="38">
        <v>0</v>
      </c>
      <c r="V313" s="38">
        <v>0</v>
      </c>
      <c r="W313" s="38">
        <v>0</v>
      </c>
      <c r="X313" s="38">
        <v>0</v>
      </c>
      <c r="Y313" s="38">
        <v>0</v>
      </c>
      <c r="Z313" s="38">
        <v>0</v>
      </c>
      <c r="AA313" s="38">
        <v>0</v>
      </c>
      <c r="AB313" s="38">
        <v>0</v>
      </c>
      <c r="AC313" s="38">
        <v>0</v>
      </c>
      <c r="AD313" s="32">
        <f t="shared" si="502"/>
        <v>0</v>
      </c>
    </row>
    <row r="314" spans="1:30" ht="21.75" customHeight="1">
      <c r="A314" s="25">
        <v>106</v>
      </c>
      <c r="B314" s="42" t="s">
        <v>296</v>
      </c>
      <c r="C314" s="29" t="s">
        <v>134</v>
      </c>
      <c r="D314" s="60" t="s">
        <v>297</v>
      </c>
      <c r="E314" s="31">
        <f>F315</f>
        <v>8096</v>
      </c>
      <c r="F314" s="32">
        <f t="shared" si="507"/>
        <v>8096</v>
      </c>
      <c r="G314" s="33">
        <f>G315</f>
        <v>0</v>
      </c>
      <c r="H314" s="33">
        <f>H315</f>
        <v>0</v>
      </c>
      <c r="I314" s="33">
        <f t="shared" ref="I314:I315" si="508">SUM(K314:O314)</f>
        <v>3096</v>
      </c>
      <c r="J314" s="32">
        <f>J315</f>
        <v>0</v>
      </c>
      <c r="K314" s="32">
        <f t="shared" ref="K314:Q314" si="509">K315</f>
        <v>0</v>
      </c>
      <c r="L314" s="32">
        <f t="shared" si="509"/>
        <v>0</v>
      </c>
      <c r="M314" s="32">
        <f t="shared" si="509"/>
        <v>0</v>
      </c>
      <c r="N314" s="95">
        <f t="shared" si="509"/>
        <v>0</v>
      </c>
      <c r="O314" s="95">
        <f t="shared" si="509"/>
        <v>3096</v>
      </c>
      <c r="P314" s="95">
        <f t="shared" si="509"/>
        <v>3800</v>
      </c>
      <c r="Q314" s="95">
        <f t="shared" si="509"/>
        <v>1200</v>
      </c>
      <c r="R314" s="95">
        <v>0</v>
      </c>
      <c r="S314" s="95">
        <v>0</v>
      </c>
      <c r="T314" s="32">
        <v>0</v>
      </c>
      <c r="U314" s="32">
        <v>0</v>
      </c>
      <c r="V314" s="32">
        <f t="shared" ref="V314:AC314" si="510">V315</f>
        <v>0</v>
      </c>
      <c r="W314" s="32">
        <f t="shared" si="510"/>
        <v>0</v>
      </c>
      <c r="X314" s="32">
        <f t="shared" si="510"/>
        <v>0</v>
      </c>
      <c r="Y314" s="32">
        <f t="shared" si="510"/>
        <v>0</v>
      </c>
      <c r="Z314" s="32">
        <f t="shared" si="510"/>
        <v>0</v>
      </c>
      <c r="AA314" s="32">
        <f t="shared" si="510"/>
        <v>0</v>
      </c>
      <c r="AB314" s="32">
        <f t="shared" si="510"/>
        <v>0</v>
      </c>
      <c r="AC314" s="32">
        <f t="shared" si="510"/>
        <v>0</v>
      </c>
      <c r="AD314" s="32">
        <f t="shared" si="502"/>
        <v>5000</v>
      </c>
    </row>
    <row r="315" spans="1:30" ht="17.25" customHeight="1">
      <c r="A315" s="45"/>
      <c r="B315" s="13" t="s">
        <v>30</v>
      </c>
      <c r="C315" s="35"/>
      <c r="D315" s="36"/>
      <c r="E315" s="37"/>
      <c r="F315" s="38">
        <f t="shared" si="507"/>
        <v>8096</v>
      </c>
      <c r="G315" s="39">
        <v>0</v>
      </c>
      <c r="H315" s="38">
        <v>0</v>
      </c>
      <c r="I315" s="38">
        <f t="shared" si="508"/>
        <v>3096</v>
      </c>
      <c r="J315" s="38">
        <v>0</v>
      </c>
      <c r="K315" s="38">
        <v>0</v>
      </c>
      <c r="L315" s="38">
        <v>0</v>
      </c>
      <c r="M315" s="38"/>
      <c r="N315" s="93">
        <v>0</v>
      </c>
      <c r="O315" s="97">
        <v>3096</v>
      </c>
      <c r="P315" s="94">
        <v>3800</v>
      </c>
      <c r="Q315" s="94">
        <v>1200</v>
      </c>
      <c r="R315" s="94">
        <v>0</v>
      </c>
      <c r="S315" s="94">
        <v>0</v>
      </c>
      <c r="T315" s="38">
        <v>0</v>
      </c>
      <c r="U315" s="38">
        <v>0</v>
      </c>
      <c r="V315" s="38"/>
      <c r="W315" s="38"/>
      <c r="X315" s="38"/>
      <c r="Y315" s="38"/>
      <c r="Z315" s="38"/>
      <c r="AA315" s="38"/>
      <c r="AB315" s="38"/>
      <c r="AC315" s="38"/>
      <c r="AD315" s="32">
        <f t="shared" si="502"/>
        <v>5000</v>
      </c>
    </row>
    <row r="316" spans="1:30" ht="39" customHeight="1">
      <c r="A316" s="58">
        <v>107</v>
      </c>
      <c r="B316" s="42" t="s">
        <v>253</v>
      </c>
      <c r="C316" s="29" t="s">
        <v>254</v>
      </c>
      <c r="D316" s="54">
        <v>2018</v>
      </c>
      <c r="E316" s="31">
        <f>F317</f>
        <v>1637</v>
      </c>
      <c r="F316" s="66">
        <f t="shared" si="507"/>
        <v>1637</v>
      </c>
      <c r="G316" s="33">
        <f>G317</f>
        <v>0</v>
      </c>
      <c r="H316" s="33">
        <f>H317</f>
        <v>0</v>
      </c>
      <c r="I316" s="33">
        <f t="shared" si="503"/>
        <v>1637</v>
      </c>
      <c r="J316" s="32">
        <f>J317</f>
        <v>0</v>
      </c>
      <c r="K316" s="32">
        <f t="shared" ref="K316:Q316" si="511">K317</f>
        <v>0</v>
      </c>
      <c r="L316" s="32">
        <f t="shared" si="511"/>
        <v>0</v>
      </c>
      <c r="M316" s="32">
        <f t="shared" si="511"/>
        <v>0</v>
      </c>
      <c r="N316" s="95">
        <f t="shared" si="511"/>
        <v>1637</v>
      </c>
      <c r="O316" s="95">
        <f t="shared" si="511"/>
        <v>0</v>
      </c>
      <c r="P316" s="95">
        <f t="shared" si="511"/>
        <v>0</v>
      </c>
      <c r="Q316" s="95">
        <f t="shared" si="511"/>
        <v>0</v>
      </c>
      <c r="R316" s="95">
        <v>0</v>
      </c>
      <c r="S316" s="95">
        <v>0</v>
      </c>
      <c r="T316" s="32">
        <v>0</v>
      </c>
      <c r="U316" s="32">
        <v>0</v>
      </c>
      <c r="V316" s="32">
        <v>0</v>
      </c>
      <c r="W316" s="32">
        <v>0</v>
      </c>
      <c r="X316" s="32">
        <v>0</v>
      </c>
      <c r="Y316" s="32">
        <v>0</v>
      </c>
      <c r="Z316" s="32">
        <v>0</v>
      </c>
      <c r="AA316" s="32">
        <v>0</v>
      </c>
      <c r="AB316" s="32">
        <v>0</v>
      </c>
      <c r="AC316" s="32">
        <v>0</v>
      </c>
      <c r="AD316" s="32">
        <f t="shared" si="502"/>
        <v>0</v>
      </c>
    </row>
    <row r="317" spans="1:30" ht="17.25" customHeight="1">
      <c r="A317" s="45"/>
      <c r="B317" s="13" t="s">
        <v>30</v>
      </c>
      <c r="C317" s="35"/>
      <c r="D317" s="36"/>
      <c r="E317" s="37"/>
      <c r="F317" s="38">
        <f t="shared" si="507"/>
        <v>1637</v>
      </c>
      <c r="G317" s="38">
        <v>0</v>
      </c>
      <c r="H317" s="38">
        <v>0</v>
      </c>
      <c r="I317" s="38">
        <f t="shared" si="503"/>
        <v>1637</v>
      </c>
      <c r="J317" s="38">
        <v>0</v>
      </c>
      <c r="K317" s="38">
        <v>0</v>
      </c>
      <c r="L317" s="38">
        <v>0</v>
      </c>
      <c r="M317" s="38">
        <v>0</v>
      </c>
      <c r="N317" s="94">
        <v>1637</v>
      </c>
      <c r="O317" s="94">
        <v>0</v>
      </c>
      <c r="P317" s="94">
        <v>0</v>
      </c>
      <c r="Q317" s="94">
        <v>0</v>
      </c>
      <c r="R317" s="94">
        <v>0</v>
      </c>
      <c r="S317" s="94">
        <v>0</v>
      </c>
      <c r="T317" s="38">
        <v>0</v>
      </c>
      <c r="U317" s="38">
        <v>0</v>
      </c>
      <c r="V317" s="38">
        <v>0</v>
      </c>
      <c r="W317" s="38">
        <v>0</v>
      </c>
      <c r="X317" s="38">
        <v>0</v>
      </c>
      <c r="Y317" s="38">
        <v>0</v>
      </c>
      <c r="Z317" s="38">
        <v>0</v>
      </c>
      <c r="AA317" s="38">
        <v>0</v>
      </c>
      <c r="AB317" s="38">
        <v>0</v>
      </c>
      <c r="AC317" s="38">
        <v>0</v>
      </c>
      <c r="AD317" s="32">
        <f t="shared" si="502"/>
        <v>0</v>
      </c>
    </row>
    <row r="318" spans="1:30" ht="21.75" customHeight="1">
      <c r="A318" s="61" t="s">
        <v>209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102"/>
      <c r="O318" s="102"/>
      <c r="P318" s="102"/>
      <c r="Q318" s="102"/>
      <c r="R318" s="102"/>
      <c r="S318" s="102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32">
        <f t="shared" si="502"/>
        <v>0</v>
      </c>
    </row>
    <row r="319" spans="1:30" ht="21.75" customHeight="1">
      <c r="A319" s="25">
        <v>108</v>
      </c>
      <c r="B319" s="42" t="s">
        <v>210</v>
      </c>
      <c r="C319" s="29" t="s">
        <v>211</v>
      </c>
      <c r="D319" s="30" t="s">
        <v>314</v>
      </c>
      <c r="E319" s="31">
        <f>F320</f>
        <v>73080.187999999995</v>
      </c>
      <c r="F319" s="32">
        <v>70772.788</v>
      </c>
      <c r="G319" s="33">
        <f>G320</f>
        <v>49887.487999999998</v>
      </c>
      <c r="H319" s="33">
        <f>H320</f>
        <v>50877.487999999998</v>
      </c>
      <c r="I319" s="33">
        <f t="shared" ref="I319:I330" si="512">SUM(K319:O319)</f>
        <v>14502.7</v>
      </c>
      <c r="J319" s="32">
        <f>J320</f>
        <v>990</v>
      </c>
      <c r="K319" s="32">
        <f t="shared" ref="K319:M319" si="513">K320</f>
        <v>1311</v>
      </c>
      <c r="L319" s="32">
        <f t="shared" si="513"/>
        <v>2998.3</v>
      </c>
      <c r="M319" s="32">
        <f t="shared" si="513"/>
        <v>2650.4</v>
      </c>
      <c r="N319" s="95">
        <f>N320</f>
        <v>3212</v>
      </c>
      <c r="O319" s="95">
        <f t="shared" ref="O319:S319" si="514">O320</f>
        <v>4331</v>
      </c>
      <c r="P319" s="95">
        <f t="shared" si="514"/>
        <v>3900</v>
      </c>
      <c r="Q319" s="95">
        <f t="shared" si="514"/>
        <v>3300</v>
      </c>
      <c r="R319" s="95">
        <v>500</v>
      </c>
      <c r="S319" s="95">
        <f t="shared" si="514"/>
        <v>500</v>
      </c>
      <c r="T319" s="32">
        <v>0</v>
      </c>
      <c r="U319" s="32">
        <v>0</v>
      </c>
      <c r="V319" s="32">
        <f t="shared" ref="V319:AC319" si="515">V320</f>
        <v>0</v>
      </c>
      <c r="W319" s="32">
        <f t="shared" si="515"/>
        <v>0</v>
      </c>
      <c r="X319" s="32">
        <f t="shared" si="515"/>
        <v>0</v>
      </c>
      <c r="Y319" s="32">
        <f t="shared" si="515"/>
        <v>0</v>
      </c>
      <c r="Z319" s="32">
        <f t="shared" si="515"/>
        <v>0</v>
      </c>
      <c r="AA319" s="32">
        <f t="shared" si="515"/>
        <v>0</v>
      </c>
      <c r="AB319" s="32">
        <f t="shared" si="515"/>
        <v>0</v>
      </c>
      <c r="AC319" s="32">
        <f t="shared" si="515"/>
        <v>0</v>
      </c>
      <c r="AD319" s="32">
        <f t="shared" si="502"/>
        <v>7700</v>
      </c>
    </row>
    <row r="320" spans="1:30" ht="17.25" customHeight="1">
      <c r="A320" s="45"/>
      <c r="B320" s="13" t="s">
        <v>30</v>
      </c>
      <c r="C320" s="35"/>
      <c r="D320" s="36"/>
      <c r="E320" s="37"/>
      <c r="F320" s="38">
        <f>H320+I320+AD320</f>
        <v>73080.187999999995</v>
      </c>
      <c r="G320" s="39">
        <v>49887.487999999998</v>
      </c>
      <c r="H320" s="38">
        <v>50877.487999999998</v>
      </c>
      <c r="I320" s="38">
        <f t="shared" si="512"/>
        <v>14502.7</v>
      </c>
      <c r="J320" s="38">
        <v>990</v>
      </c>
      <c r="K320" s="38">
        <v>1311</v>
      </c>
      <c r="L320" s="38">
        <v>2998.3</v>
      </c>
      <c r="M320" s="38">
        <v>2650.4</v>
      </c>
      <c r="N320" s="94">
        <v>3212</v>
      </c>
      <c r="O320" s="94">
        <v>4331</v>
      </c>
      <c r="P320" s="94">
        <v>3900</v>
      </c>
      <c r="Q320" s="94">
        <v>3300</v>
      </c>
      <c r="R320" s="94">
        <v>500</v>
      </c>
      <c r="S320" s="94">
        <v>500</v>
      </c>
      <c r="T320" s="38">
        <v>0</v>
      </c>
      <c r="U320" s="38">
        <v>0</v>
      </c>
      <c r="V320" s="38">
        <f>'[3]Programy PROJEKT'!AD616+'[3]Programy PROJEKT'!AE616</f>
        <v>0</v>
      </c>
      <c r="W320" s="38">
        <v>0</v>
      </c>
      <c r="X320" s="38">
        <v>0</v>
      </c>
      <c r="Y320" s="38">
        <v>0</v>
      </c>
      <c r="Z320" s="38">
        <v>0</v>
      </c>
      <c r="AA320" s="38">
        <v>0</v>
      </c>
      <c r="AB320" s="38">
        <v>0</v>
      </c>
      <c r="AC320" s="38">
        <v>0</v>
      </c>
      <c r="AD320" s="32">
        <f t="shared" si="502"/>
        <v>7700</v>
      </c>
    </row>
    <row r="321" spans="1:182" ht="35.25" customHeight="1">
      <c r="A321" s="25">
        <v>109</v>
      </c>
      <c r="B321" s="42" t="s">
        <v>212</v>
      </c>
      <c r="C321" s="29" t="s">
        <v>213</v>
      </c>
      <c r="D321" s="30" t="s">
        <v>62</v>
      </c>
      <c r="E321" s="31">
        <f>F322</f>
        <v>182097.22099999999</v>
      </c>
      <c r="F321" s="32">
        <f>F322+F323</f>
        <v>206447.22099999999</v>
      </c>
      <c r="G321" s="32">
        <f>G322+G323</f>
        <v>1921.9190000000001</v>
      </c>
      <c r="H321" s="32">
        <f>H322+H323</f>
        <v>3469.2110000000002</v>
      </c>
      <c r="I321" s="33">
        <f t="shared" si="512"/>
        <v>184104.94099999999</v>
      </c>
      <c r="J321" s="32">
        <f t="shared" ref="J321:M321" si="516">J322+J323</f>
        <v>1547.2919999999999</v>
      </c>
      <c r="K321" s="32">
        <f t="shared" si="516"/>
        <v>17719</v>
      </c>
      <c r="L321" s="32">
        <f t="shared" si="516"/>
        <v>45748.553</v>
      </c>
      <c r="M321" s="32">
        <f t="shared" si="516"/>
        <v>17966.432000000001</v>
      </c>
      <c r="N321" s="95">
        <f>N322</f>
        <v>96379.933000000005</v>
      </c>
      <c r="O321" s="95">
        <f t="shared" ref="O321:Q321" si="517">O322</f>
        <v>6291.0230000000001</v>
      </c>
      <c r="P321" s="95">
        <f t="shared" si="517"/>
        <v>6291.0229999999974</v>
      </c>
      <c r="Q321" s="95">
        <f t="shared" si="517"/>
        <v>6291.0229999999974</v>
      </c>
      <c r="R321" s="95">
        <v>6291.0229999999974</v>
      </c>
      <c r="S321" s="95">
        <f>S322</f>
        <v>6291.0229999999974</v>
      </c>
      <c r="T321" s="32">
        <v>0</v>
      </c>
      <c r="U321" s="32">
        <v>0</v>
      </c>
      <c r="V321" s="32">
        <f t="shared" ref="V321:AC321" si="518">V322+V323</f>
        <v>0</v>
      </c>
      <c r="W321" s="32">
        <f t="shared" si="518"/>
        <v>0</v>
      </c>
      <c r="X321" s="32">
        <f t="shared" si="518"/>
        <v>0</v>
      </c>
      <c r="Y321" s="32">
        <f t="shared" si="518"/>
        <v>0</v>
      </c>
      <c r="Z321" s="32">
        <f t="shared" si="518"/>
        <v>0</v>
      </c>
      <c r="AA321" s="32">
        <f t="shared" si="518"/>
        <v>0</v>
      </c>
      <c r="AB321" s="32">
        <f t="shared" si="518"/>
        <v>0</v>
      </c>
      <c r="AC321" s="32">
        <f t="shared" si="518"/>
        <v>0</v>
      </c>
      <c r="AD321" s="32">
        <f t="shared" si="502"/>
        <v>18873.068999999992</v>
      </c>
    </row>
    <row r="322" spans="1:182" ht="17.25" customHeight="1">
      <c r="A322" s="45"/>
      <c r="B322" s="13" t="s">
        <v>30</v>
      </c>
      <c r="C322" s="35"/>
      <c r="D322" s="36"/>
      <c r="E322" s="37"/>
      <c r="F322" s="38">
        <f>H322+I322+AD322</f>
        <v>182097.22099999999</v>
      </c>
      <c r="G322" s="39">
        <v>1921.9190000000001</v>
      </c>
      <c r="H322" s="38">
        <v>3469.2110000000002</v>
      </c>
      <c r="I322" s="38">
        <f t="shared" si="512"/>
        <v>159754.94099999999</v>
      </c>
      <c r="J322" s="38">
        <v>1547.2919999999999</v>
      </c>
      <c r="K322" s="38">
        <v>10719</v>
      </c>
      <c r="L322" s="38">
        <v>33048.553</v>
      </c>
      <c r="M322" s="38">
        <f>13624.239-307.807</f>
        <v>13316.431999999999</v>
      </c>
      <c r="N322" s="94">
        <v>96379.933000000005</v>
      </c>
      <c r="O322" s="94">
        <v>6291.0230000000001</v>
      </c>
      <c r="P322" s="94">
        <v>6291.0229999999974</v>
      </c>
      <c r="Q322" s="94">
        <v>6291.0229999999974</v>
      </c>
      <c r="R322" s="94">
        <v>6291.0229999999974</v>
      </c>
      <c r="S322" s="94">
        <v>6291.0229999999974</v>
      </c>
      <c r="T322" s="38">
        <v>0</v>
      </c>
      <c r="U322" s="38">
        <v>0</v>
      </c>
      <c r="V322" s="38">
        <v>0</v>
      </c>
      <c r="W322" s="38">
        <v>0</v>
      </c>
      <c r="X322" s="38">
        <v>0</v>
      </c>
      <c r="Y322" s="38">
        <v>0</v>
      </c>
      <c r="Z322" s="38">
        <v>0</v>
      </c>
      <c r="AA322" s="38">
        <v>0</v>
      </c>
      <c r="AB322" s="38">
        <v>0</v>
      </c>
      <c r="AC322" s="38">
        <v>0</v>
      </c>
      <c r="AD322" s="32">
        <f t="shared" si="502"/>
        <v>18873.068999999992</v>
      </c>
    </row>
    <row r="323" spans="1:182" ht="17.25" customHeight="1">
      <c r="A323" s="45"/>
      <c r="B323" s="13" t="s">
        <v>70</v>
      </c>
      <c r="C323" s="35"/>
      <c r="D323" s="36"/>
      <c r="E323" s="37"/>
      <c r="F323" s="38">
        <f>H323+I323+AD323</f>
        <v>24350</v>
      </c>
      <c r="G323" s="39">
        <v>0</v>
      </c>
      <c r="H323" s="38">
        <v>0</v>
      </c>
      <c r="I323" s="38">
        <f t="shared" si="512"/>
        <v>24350</v>
      </c>
      <c r="J323" s="38">
        <v>0</v>
      </c>
      <c r="K323" s="38">
        <v>7000</v>
      </c>
      <c r="L323" s="38">
        <v>12700</v>
      </c>
      <c r="M323" s="38">
        <v>4650</v>
      </c>
      <c r="N323" s="94">
        <v>0</v>
      </c>
      <c r="O323" s="94">
        <v>0</v>
      </c>
      <c r="P323" s="94"/>
      <c r="Q323" s="94"/>
      <c r="R323" s="94">
        <v>0</v>
      </c>
      <c r="S323" s="94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2">
        <f t="shared" si="502"/>
        <v>0</v>
      </c>
    </row>
    <row r="324" spans="1:182" ht="21.75" customHeight="1">
      <c r="A324" s="25">
        <v>110</v>
      </c>
      <c r="B324" s="42" t="s">
        <v>214</v>
      </c>
      <c r="C324" s="29" t="s">
        <v>215</v>
      </c>
      <c r="D324" s="30" t="s">
        <v>34</v>
      </c>
      <c r="E324" s="31">
        <f>F325</f>
        <v>18735.5</v>
      </c>
      <c r="F324" s="32">
        <f>F325+F326</f>
        <v>19126.5</v>
      </c>
      <c r="G324" s="32">
        <f>G325+G326</f>
        <v>0</v>
      </c>
      <c r="H324" s="32">
        <f>H325+H326</f>
        <v>0</v>
      </c>
      <c r="I324" s="33">
        <f t="shared" si="512"/>
        <v>17126.5</v>
      </c>
      <c r="J324" s="32">
        <f t="shared" ref="J324:M324" si="519">J325+J326</f>
        <v>0</v>
      </c>
      <c r="K324" s="32">
        <f t="shared" si="519"/>
        <v>3000</v>
      </c>
      <c r="L324" s="32">
        <f t="shared" si="519"/>
        <v>3196</v>
      </c>
      <c r="M324" s="32">
        <f t="shared" si="519"/>
        <v>3169.2</v>
      </c>
      <c r="N324" s="95">
        <f>N325+N326</f>
        <v>471.8</v>
      </c>
      <c r="O324" s="95">
        <f t="shared" ref="O324:Q324" si="520">O325+O326</f>
        <v>7289.5</v>
      </c>
      <c r="P324" s="95">
        <f t="shared" si="520"/>
        <v>0</v>
      </c>
      <c r="Q324" s="95">
        <f t="shared" si="520"/>
        <v>2000</v>
      </c>
      <c r="R324" s="95">
        <v>0</v>
      </c>
      <c r="S324" s="95">
        <v>0</v>
      </c>
      <c r="T324" s="32">
        <v>0</v>
      </c>
      <c r="U324" s="32">
        <v>0</v>
      </c>
      <c r="V324" s="32">
        <f t="shared" ref="V324:AC324" si="521">V325+V326</f>
        <v>0</v>
      </c>
      <c r="W324" s="32">
        <f t="shared" si="521"/>
        <v>0</v>
      </c>
      <c r="X324" s="32">
        <f t="shared" si="521"/>
        <v>0</v>
      </c>
      <c r="Y324" s="32">
        <f t="shared" si="521"/>
        <v>0</v>
      </c>
      <c r="Z324" s="32">
        <f t="shared" si="521"/>
        <v>0</v>
      </c>
      <c r="AA324" s="32">
        <f t="shared" si="521"/>
        <v>0</v>
      </c>
      <c r="AB324" s="32">
        <f t="shared" si="521"/>
        <v>0</v>
      </c>
      <c r="AC324" s="32">
        <f t="shared" si="521"/>
        <v>0</v>
      </c>
      <c r="AD324" s="32">
        <f t="shared" si="502"/>
        <v>2000</v>
      </c>
    </row>
    <row r="325" spans="1:182" ht="17.25" customHeight="1">
      <c r="A325" s="45"/>
      <c r="B325" s="13" t="s">
        <v>30</v>
      </c>
      <c r="C325" s="35"/>
      <c r="D325" s="36"/>
      <c r="E325" s="37"/>
      <c r="F325" s="38">
        <f>H325+I325+AD325</f>
        <v>18735.5</v>
      </c>
      <c r="G325" s="39">
        <v>0</v>
      </c>
      <c r="H325" s="38">
        <v>0</v>
      </c>
      <c r="I325" s="38">
        <f t="shared" si="512"/>
        <v>16735.5</v>
      </c>
      <c r="J325" s="38">
        <v>0</v>
      </c>
      <c r="K325" s="38">
        <v>3000</v>
      </c>
      <c r="L325" s="38">
        <v>2805</v>
      </c>
      <c r="M325" s="40">
        <f>3444-185.8-89</f>
        <v>3169.2</v>
      </c>
      <c r="N325" s="94">
        <v>471.8</v>
      </c>
      <c r="O325" s="94">
        <v>7289.5</v>
      </c>
      <c r="P325" s="94">
        <v>0</v>
      </c>
      <c r="Q325" s="94">
        <v>2000</v>
      </c>
      <c r="R325" s="94">
        <v>0</v>
      </c>
      <c r="S325" s="94">
        <v>0</v>
      </c>
      <c r="T325" s="38">
        <v>0</v>
      </c>
      <c r="U325" s="38">
        <v>0</v>
      </c>
      <c r="V325" s="38">
        <v>0</v>
      </c>
      <c r="W325" s="38">
        <v>0</v>
      </c>
      <c r="X325" s="38">
        <v>0</v>
      </c>
      <c r="Y325" s="38">
        <v>0</v>
      </c>
      <c r="Z325" s="38">
        <v>0</v>
      </c>
      <c r="AA325" s="38">
        <v>0</v>
      </c>
      <c r="AB325" s="38">
        <v>0</v>
      </c>
      <c r="AC325" s="38">
        <v>0</v>
      </c>
      <c r="AD325" s="32">
        <f t="shared" si="502"/>
        <v>2000</v>
      </c>
    </row>
    <row r="326" spans="1:182" ht="17.25" customHeight="1">
      <c r="A326" s="45"/>
      <c r="B326" s="13" t="s">
        <v>70</v>
      </c>
      <c r="C326" s="35"/>
      <c r="D326" s="36"/>
      <c r="E326" s="37"/>
      <c r="F326" s="38">
        <f>H326+I326+AD326</f>
        <v>391</v>
      </c>
      <c r="G326" s="39">
        <v>0</v>
      </c>
      <c r="H326" s="38">
        <v>0</v>
      </c>
      <c r="I326" s="38">
        <f t="shared" si="512"/>
        <v>391</v>
      </c>
      <c r="J326" s="38">
        <v>0</v>
      </c>
      <c r="K326" s="38">
        <v>0</v>
      </c>
      <c r="L326" s="38">
        <v>391</v>
      </c>
      <c r="M326" s="38">
        <v>0</v>
      </c>
      <c r="N326" s="94">
        <v>0</v>
      </c>
      <c r="O326" s="94">
        <v>0</v>
      </c>
      <c r="P326" s="94"/>
      <c r="Q326" s="94"/>
      <c r="R326" s="94">
        <v>0</v>
      </c>
      <c r="S326" s="94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2">
        <f t="shared" si="502"/>
        <v>0</v>
      </c>
    </row>
    <row r="327" spans="1:182" ht="21.75" customHeight="1">
      <c r="A327" s="25">
        <v>111</v>
      </c>
      <c r="B327" s="42" t="s">
        <v>95</v>
      </c>
      <c r="C327" s="29" t="s">
        <v>272</v>
      </c>
      <c r="D327" s="60" t="s">
        <v>133</v>
      </c>
      <c r="E327" s="31">
        <f>F328</f>
        <v>4000.2349999999997</v>
      </c>
      <c r="F327" s="32">
        <f>F328</f>
        <v>4000.2349999999997</v>
      </c>
      <c r="G327" s="33">
        <f>G328</f>
        <v>0</v>
      </c>
      <c r="H327" s="33">
        <f>H328</f>
        <v>0</v>
      </c>
      <c r="I327" s="33">
        <f t="shared" ref="I327:I328" si="522">SUM(K327:O327)</f>
        <v>4000.2349999999997</v>
      </c>
      <c r="J327" s="32">
        <f>J328</f>
        <v>0</v>
      </c>
      <c r="K327" s="32">
        <f t="shared" ref="K327:M327" si="523">K328</f>
        <v>0</v>
      </c>
      <c r="L327" s="32">
        <f t="shared" si="523"/>
        <v>0</v>
      </c>
      <c r="M327" s="32">
        <f t="shared" si="523"/>
        <v>0</v>
      </c>
      <c r="N327" s="95">
        <f t="shared" ref="N327" si="524">N328</f>
        <v>2272.62</v>
      </c>
      <c r="O327" s="95">
        <f t="shared" ref="O327" si="525">O328</f>
        <v>1727.615</v>
      </c>
      <c r="P327" s="95">
        <f t="shared" ref="P327" si="526">P328</f>
        <v>0</v>
      </c>
      <c r="Q327" s="95">
        <f t="shared" ref="Q327" si="527">Q328</f>
        <v>0</v>
      </c>
      <c r="R327" s="95">
        <v>0</v>
      </c>
      <c r="S327" s="95">
        <v>0</v>
      </c>
      <c r="T327" s="32">
        <v>0</v>
      </c>
      <c r="U327" s="32">
        <v>0</v>
      </c>
      <c r="V327" s="32">
        <f t="shared" ref="V327:AC327" si="528">V328</f>
        <v>0</v>
      </c>
      <c r="W327" s="32">
        <f t="shared" si="528"/>
        <v>0</v>
      </c>
      <c r="X327" s="32">
        <f t="shared" si="528"/>
        <v>0</v>
      </c>
      <c r="Y327" s="32">
        <f t="shared" si="528"/>
        <v>0</v>
      </c>
      <c r="Z327" s="32">
        <f t="shared" si="528"/>
        <v>0</v>
      </c>
      <c r="AA327" s="32">
        <f t="shared" si="528"/>
        <v>0</v>
      </c>
      <c r="AB327" s="32">
        <f t="shared" si="528"/>
        <v>0</v>
      </c>
      <c r="AC327" s="32">
        <f t="shared" si="528"/>
        <v>0</v>
      </c>
      <c r="AD327" s="32">
        <f t="shared" si="502"/>
        <v>0</v>
      </c>
    </row>
    <row r="328" spans="1:182" ht="17.25" customHeight="1">
      <c r="A328" s="45"/>
      <c r="B328" s="13" t="s">
        <v>30</v>
      </c>
      <c r="C328" s="35"/>
      <c r="D328" s="36"/>
      <c r="E328" s="37"/>
      <c r="F328" s="38">
        <f>H328+I328+AD328</f>
        <v>4000.2349999999997</v>
      </c>
      <c r="G328" s="39">
        <v>0</v>
      </c>
      <c r="H328" s="38">
        <v>0</v>
      </c>
      <c r="I328" s="38">
        <f t="shared" si="522"/>
        <v>4000.2349999999997</v>
      </c>
      <c r="J328" s="38">
        <v>0</v>
      </c>
      <c r="K328" s="38">
        <v>0</v>
      </c>
      <c r="L328" s="38">
        <v>0</v>
      </c>
      <c r="M328" s="38">
        <v>0</v>
      </c>
      <c r="N328" s="93">
        <v>2272.62</v>
      </c>
      <c r="O328" s="97">
        <v>1727.615</v>
      </c>
      <c r="P328" s="97"/>
      <c r="Q328" s="94"/>
      <c r="R328" s="94">
        <v>0</v>
      </c>
      <c r="S328" s="94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2">
        <f t="shared" si="502"/>
        <v>0</v>
      </c>
    </row>
    <row r="329" spans="1:182" ht="21.75" customHeight="1">
      <c r="A329" s="58">
        <v>112</v>
      </c>
      <c r="B329" s="46" t="s">
        <v>121</v>
      </c>
      <c r="C329" s="29" t="s">
        <v>216</v>
      </c>
      <c r="D329" s="54" t="s">
        <v>78</v>
      </c>
      <c r="E329" s="31">
        <f>F330</f>
        <v>20301.666999999998</v>
      </c>
      <c r="F329" s="32">
        <v>12324</v>
      </c>
      <c r="G329" s="33">
        <f>G330</f>
        <v>0</v>
      </c>
      <c r="H329" s="33">
        <f>H330</f>
        <v>0</v>
      </c>
      <c r="I329" s="33">
        <f t="shared" si="512"/>
        <v>19801.666999999998</v>
      </c>
      <c r="J329" s="32">
        <f>J330</f>
        <v>0</v>
      </c>
      <c r="K329" s="32">
        <f t="shared" ref="K329:M329" si="529">K330</f>
        <v>0</v>
      </c>
      <c r="L329" s="32">
        <f t="shared" si="529"/>
        <v>4866.7669999999998</v>
      </c>
      <c r="M329" s="32">
        <f t="shared" si="529"/>
        <v>6789.7150000000001</v>
      </c>
      <c r="N329" s="95">
        <f t="shared" ref="N329" si="530">N330</f>
        <v>4873.3159999999998</v>
      </c>
      <c r="O329" s="95">
        <f t="shared" ref="O329" si="531">O330</f>
        <v>3271.8690000000001</v>
      </c>
      <c r="P329" s="95">
        <f t="shared" ref="P329" si="532">P330</f>
        <v>500</v>
      </c>
      <c r="Q329" s="95">
        <f t="shared" ref="Q329" si="533">Q330</f>
        <v>0</v>
      </c>
      <c r="R329" s="95">
        <v>0</v>
      </c>
      <c r="S329" s="95">
        <v>0</v>
      </c>
      <c r="T329" s="32">
        <v>0</v>
      </c>
      <c r="U329" s="32">
        <v>0</v>
      </c>
      <c r="V329" s="32">
        <f t="shared" ref="V329:AC329" si="534">V330</f>
        <v>0</v>
      </c>
      <c r="W329" s="32">
        <f t="shared" si="534"/>
        <v>0</v>
      </c>
      <c r="X329" s="32">
        <f t="shared" si="534"/>
        <v>0</v>
      </c>
      <c r="Y329" s="32">
        <f t="shared" si="534"/>
        <v>0</v>
      </c>
      <c r="Z329" s="32">
        <f t="shared" si="534"/>
        <v>0</v>
      </c>
      <c r="AA329" s="32">
        <f t="shared" si="534"/>
        <v>0</v>
      </c>
      <c r="AB329" s="32">
        <f t="shared" si="534"/>
        <v>0</v>
      </c>
      <c r="AC329" s="32">
        <f t="shared" si="534"/>
        <v>0</v>
      </c>
      <c r="AD329" s="32">
        <f t="shared" si="502"/>
        <v>500</v>
      </c>
    </row>
    <row r="330" spans="1:182" ht="17.25" customHeight="1">
      <c r="A330" s="45"/>
      <c r="B330" s="13" t="s">
        <v>30</v>
      </c>
      <c r="C330" s="35"/>
      <c r="D330" s="36"/>
      <c r="E330" s="37"/>
      <c r="F330" s="38">
        <f>H330+I330+AD330</f>
        <v>20301.666999999998</v>
      </c>
      <c r="G330" s="38">
        <v>0</v>
      </c>
      <c r="H330" s="38">
        <v>0</v>
      </c>
      <c r="I330" s="38">
        <f t="shared" si="512"/>
        <v>19801.666999999998</v>
      </c>
      <c r="J330" s="38">
        <v>0</v>
      </c>
      <c r="K330" s="38">
        <v>0</v>
      </c>
      <c r="L330" s="38">
        <v>4866.7669999999998</v>
      </c>
      <c r="M330" s="40">
        <v>6789.7150000000001</v>
      </c>
      <c r="N330" s="94">
        <v>4873.3159999999998</v>
      </c>
      <c r="O330" s="94">
        <v>3271.8690000000001</v>
      </c>
      <c r="P330" s="94">
        <v>500</v>
      </c>
      <c r="Q330" s="94">
        <v>0</v>
      </c>
      <c r="R330" s="94">
        <v>0</v>
      </c>
      <c r="S330" s="94">
        <v>0</v>
      </c>
      <c r="T330" s="38">
        <v>0</v>
      </c>
      <c r="U330" s="38">
        <v>0</v>
      </c>
      <c r="V330" s="38">
        <v>0</v>
      </c>
      <c r="W330" s="38">
        <v>0</v>
      </c>
      <c r="X330" s="38">
        <v>0</v>
      </c>
      <c r="Y330" s="38">
        <v>0</v>
      </c>
      <c r="Z330" s="38">
        <v>0</v>
      </c>
      <c r="AA330" s="38">
        <v>0</v>
      </c>
      <c r="AB330" s="38">
        <v>0</v>
      </c>
      <c r="AC330" s="38">
        <v>0</v>
      </c>
      <c r="AD330" s="32">
        <f t="shared" si="502"/>
        <v>500</v>
      </c>
    </row>
    <row r="331" spans="1:182" ht="48" customHeight="1">
      <c r="A331" s="25">
        <v>113</v>
      </c>
      <c r="B331" s="28" t="s">
        <v>250</v>
      </c>
      <c r="C331" s="29" t="s">
        <v>86</v>
      </c>
      <c r="D331" s="30" t="s">
        <v>133</v>
      </c>
      <c r="E331" s="31">
        <f>F332</f>
        <v>2030.9299999999998</v>
      </c>
      <c r="F331" s="32">
        <f>F332+F333</f>
        <v>6573.7980000000007</v>
      </c>
      <c r="G331" s="32">
        <f>G332+G333</f>
        <v>0</v>
      </c>
      <c r="H331" s="32">
        <f>H332+H333</f>
        <v>0</v>
      </c>
      <c r="I331" s="33">
        <f t="shared" ref="I331:I333" si="535">SUM(K331:O331)</f>
        <v>6573.7979999999998</v>
      </c>
      <c r="J331" s="32">
        <f t="shared" ref="J331:M331" si="536">J332+J333</f>
        <v>0</v>
      </c>
      <c r="K331" s="32">
        <f t="shared" si="536"/>
        <v>0</v>
      </c>
      <c r="L331" s="32">
        <f t="shared" si="536"/>
        <v>0</v>
      </c>
      <c r="M331" s="32">
        <f t="shared" si="536"/>
        <v>0</v>
      </c>
      <c r="N331" s="95">
        <f>N332+N333</f>
        <v>788.93399999999997</v>
      </c>
      <c r="O331" s="95">
        <f t="shared" ref="O331:Q331" si="537">O332+O333</f>
        <v>5784.8639999999996</v>
      </c>
      <c r="P331" s="95">
        <f t="shared" si="537"/>
        <v>0</v>
      </c>
      <c r="Q331" s="95">
        <f t="shared" si="537"/>
        <v>0</v>
      </c>
      <c r="R331" s="95">
        <v>0</v>
      </c>
      <c r="S331" s="95">
        <v>0</v>
      </c>
      <c r="T331" s="32">
        <v>0</v>
      </c>
      <c r="U331" s="32">
        <v>0</v>
      </c>
      <c r="V331" s="32">
        <f t="shared" ref="V331:AC331" si="538">V332+V333</f>
        <v>0</v>
      </c>
      <c r="W331" s="32">
        <f t="shared" si="538"/>
        <v>0</v>
      </c>
      <c r="X331" s="32">
        <f t="shared" si="538"/>
        <v>0</v>
      </c>
      <c r="Y331" s="32">
        <f t="shared" si="538"/>
        <v>0</v>
      </c>
      <c r="Z331" s="32">
        <f t="shared" si="538"/>
        <v>0</v>
      </c>
      <c r="AA331" s="32">
        <f t="shared" si="538"/>
        <v>0</v>
      </c>
      <c r="AB331" s="32">
        <f t="shared" si="538"/>
        <v>0</v>
      </c>
      <c r="AC331" s="32">
        <f t="shared" si="538"/>
        <v>0</v>
      </c>
      <c r="AD331" s="32">
        <f t="shared" si="502"/>
        <v>0</v>
      </c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  <c r="FD331" s="10"/>
      <c r="FE331" s="10"/>
      <c r="FF331" s="10"/>
      <c r="FG331" s="10"/>
      <c r="FH331" s="10"/>
      <c r="FI331" s="10"/>
      <c r="FJ331" s="10"/>
      <c r="FK331" s="10"/>
      <c r="FL331" s="10"/>
      <c r="FM331" s="10"/>
      <c r="FN331" s="10"/>
      <c r="FO331" s="10"/>
      <c r="FP331" s="10"/>
      <c r="FQ331" s="10"/>
      <c r="FR331" s="10"/>
      <c r="FS331" s="10"/>
      <c r="FT331" s="10"/>
      <c r="FU331" s="10"/>
      <c r="FV331" s="10"/>
      <c r="FW331" s="10"/>
      <c r="FX331" s="10"/>
      <c r="FY331" s="10"/>
      <c r="FZ331" s="10"/>
    </row>
    <row r="332" spans="1:182" ht="17.25" customHeight="1">
      <c r="A332" s="45"/>
      <c r="B332" s="13" t="s">
        <v>30</v>
      </c>
      <c r="C332" s="35"/>
      <c r="D332" s="36"/>
      <c r="E332" s="37"/>
      <c r="F332" s="38">
        <f>H332+I332+AD332</f>
        <v>2030.9299999999998</v>
      </c>
      <c r="G332" s="39">
        <v>0</v>
      </c>
      <c r="H332" s="38">
        <v>0</v>
      </c>
      <c r="I332" s="38">
        <f t="shared" si="535"/>
        <v>2030.9299999999998</v>
      </c>
      <c r="J332" s="38">
        <v>0</v>
      </c>
      <c r="K332" s="16">
        <v>0</v>
      </c>
      <c r="L332" s="38">
        <v>0</v>
      </c>
      <c r="M332" s="40">
        <v>0</v>
      </c>
      <c r="N332" s="93">
        <v>243.73599999999999</v>
      </c>
      <c r="O332" s="93">
        <v>1787.194</v>
      </c>
      <c r="P332" s="94">
        <v>0</v>
      </c>
      <c r="Q332" s="94">
        <v>0</v>
      </c>
      <c r="R332" s="94">
        <v>0</v>
      </c>
      <c r="S332" s="94">
        <v>0</v>
      </c>
      <c r="T332" s="38">
        <v>0</v>
      </c>
      <c r="U332" s="38">
        <v>0</v>
      </c>
      <c r="V332" s="38">
        <v>0</v>
      </c>
      <c r="W332" s="38">
        <v>0</v>
      </c>
      <c r="X332" s="38">
        <v>0</v>
      </c>
      <c r="Y332" s="38">
        <v>0</v>
      </c>
      <c r="Z332" s="38">
        <v>0</v>
      </c>
      <c r="AA332" s="38">
        <v>0</v>
      </c>
      <c r="AB332" s="38">
        <v>0</v>
      </c>
      <c r="AC332" s="38">
        <v>0</v>
      </c>
      <c r="AD332" s="32">
        <f t="shared" si="502"/>
        <v>0</v>
      </c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  <c r="EP332" s="10"/>
      <c r="EQ332" s="10"/>
      <c r="ER332" s="10"/>
      <c r="ES332" s="10"/>
      <c r="ET332" s="10"/>
      <c r="EU332" s="10"/>
      <c r="EV332" s="10"/>
      <c r="EW332" s="10"/>
      <c r="EX332" s="10"/>
      <c r="EY332" s="10"/>
      <c r="EZ332" s="10"/>
      <c r="FA332" s="10"/>
      <c r="FB332" s="10"/>
      <c r="FC332" s="10"/>
      <c r="FD332" s="10"/>
      <c r="FE332" s="10"/>
      <c r="FF332" s="10"/>
      <c r="FG332" s="10"/>
      <c r="FH332" s="10"/>
      <c r="FI332" s="10"/>
      <c r="FJ332" s="10"/>
      <c r="FK332" s="10"/>
      <c r="FL332" s="10"/>
      <c r="FM332" s="10"/>
      <c r="FN332" s="10"/>
      <c r="FO332" s="10"/>
      <c r="FP332" s="10"/>
      <c r="FQ332" s="10"/>
      <c r="FR332" s="10"/>
      <c r="FS332" s="10"/>
      <c r="FT332" s="10"/>
      <c r="FU332" s="10"/>
      <c r="FV332" s="10"/>
      <c r="FW332" s="10"/>
      <c r="FX332" s="10"/>
      <c r="FY332" s="10"/>
      <c r="FZ332" s="10"/>
    </row>
    <row r="333" spans="1:182" ht="17.25" customHeight="1">
      <c r="A333" s="45"/>
      <c r="B333" s="43" t="s">
        <v>38</v>
      </c>
      <c r="C333" s="35"/>
      <c r="D333" s="36"/>
      <c r="E333" s="37"/>
      <c r="F333" s="38">
        <f>H333+I333+AD333</f>
        <v>4542.8680000000004</v>
      </c>
      <c r="G333" s="39">
        <v>0</v>
      </c>
      <c r="H333" s="38">
        <v>0</v>
      </c>
      <c r="I333" s="38">
        <f t="shared" si="535"/>
        <v>4542.8680000000004</v>
      </c>
      <c r="J333" s="38">
        <v>0</v>
      </c>
      <c r="K333" s="16">
        <v>0</v>
      </c>
      <c r="L333" s="38">
        <v>0</v>
      </c>
      <c r="M333" s="40">
        <v>0</v>
      </c>
      <c r="N333" s="93">
        <v>545.19799999999998</v>
      </c>
      <c r="O333" s="93">
        <v>3997.67</v>
      </c>
      <c r="P333" s="94">
        <v>0</v>
      </c>
      <c r="Q333" s="94">
        <v>0</v>
      </c>
      <c r="R333" s="94">
        <v>0</v>
      </c>
      <c r="S333" s="94">
        <v>0</v>
      </c>
      <c r="T333" s="38">
        <v>0</v>
      </c>
      <c r="U333" s="38">
        <v>0</v>
      </c>
      <c r="V333" s="38">
        <v>0</v>
      </c>
      <c r="W333" s="38">
        <v>0</v>
      </c>
      <c r="X333" s="38">
        <v>0</v>
      </c>
      <c r="Y333" s="38">
        <v>0</v>
      </c>
      <c r="Z333" s="38">
        <v>0</v>
      </c>
      <c r="AA333" s="38">
        <v>0</v>
      </c>
      <c r="AB333" s="38">
        <v>0</v>
      </c>
      <c r="AC333" s="38">
        <v>0</v>
      </c>
      <c r="AD333" s="32">
        <f t="shared" si="502"/>
        <v>0</v>
      </c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  <c r="EP333" s="10"/>
      <c r="EQ333" s="10"/>
      <c r="ER333" s="10"/>
      <c r="ES333" s="10"/>
      <c r="ET333" s="10"/>
      <c r="EU333" s="10"/>
      <c r="EV333" s="10"/>
      <c r="EW333" s="10"/>
      <c r="EX333" s="10"/>
      <c r="EY333" s="10"/>
      <c r="EZ333" s="10"/>
      <c r="FA333" s="10"/>
      <c r="FB333" s="10"/>
      <c r="FC333" s="10"/>
      <c r="FD333" s="10"/>
      <c r="FE333" s="10"/>
      <c r="FF333" s="10"/>
      <c r="FG333" s="10"/>
      <c r="FH333" s="10"/>
      <c r="FI333" s="10"/>
      <c r="FJ333" s="10"/>
      <c r="FK333" s="10"/>
      <c r="FL333" s="10"/>
      <c r="FM333" s="10"/>
      <c r="FN333" s="10"/>
      <c r="FO333" s="10"/>
      <c r="FP333" s="10"/>
      <c r="FQ333" s="10"/>
      <c r="FR333" s="10"/>
      <c r="FS333" s="10"/>
      <c r="FT333" s="10"/>
      <c r="FU333" s="10"/>
      <c r="FV333" s="10"/>
      <c r="FW333" s="10"/>
      <c r="FX333" s="10"/>
      <c r="FY333" s="10"/>
      <c r="FZ333" s="10"/>
    </row>
    <row r="334" spans="1:182" ht="24.75" customHeight="1">
      <c r="A334" s="25">
        <v>114</v>
      </c>
      <c r="B334" s="42" t="s">
        <v>217</v>
      </c>
      <c r="C334" s="29" t="s">
        <v>247</v>
      </c>
      <c r="D334" s="30" t="s">
        <v>248</v>
      </c>
      <c r="E334" s="31">
        <f>F335</f>
        <v>15369.243</v>
      </c>
      <c r="F334" s="32">
        <v>43466.760999999999</v>
      </c>
      <c r="G334" s="33">
        <v>0</v>
      </c>
      <c r="H334" s="33">
        <v>0</v>
      </c>
      <c r="I334" s="33">
        <f>SUM(K334:O334)</f>
        <v>6720.9660000000003</v>
      </c>
      <c r="J334" s="32">
        <f>J335+J336+J337</f>
        <v>0</v>
      </c>
      <c r="K334" s="32">
        <f t="shared" ref="K334:M334" si="539">K335+K336+K337</f>
        <v>875</v>
      </c>
      <c r="L334" s="32">
        <f t="shared" si="539"/>
        <v>1400.229</v>
      </c>
      <c r="M334" s="32">
        <f t="shared" si="539"/>
        <v>144.53200000000004</v>
      </c>
      <c r="N334" s="95">
        <f>N335+N336+N337</f>
        <v>1135</v>
      </c>
      <c r="O334" s="95">
        <f t="shared" ref="O334:Q334" si="540">O335+O336+O337</f>
        <v>3166.2049999999999</v>
      </c>
      <c r="P334" s="95">
        <f t="shared" si="540"/>
        <v>2727</v>
      </c>
      <c r="Q334" s="95">
        <f t="shared" si="540"/>
        <v>2000</v>
      </c>
      <c r="R334" s="95">
        <v>4000</v>
      </c>
      <c r="S334" s="95">
        <f>S335+S336+S337</f>
        <v>4000</v>
      </c>
      <c r="T334" s="32">
        <f t="shared" ref="T334" si="541">T335+T336+T337</f>
        <v>0</v>
      </c>
      <c r="U334" s="32">
        <f t="shared" ref="U334" si="542">U335+U336+U337</f>
        <v>0</v>
      </c>
      <c r="V334" s="32">
        <f t="shared" ref="V334" si="543">V335+V336+V337</f>
        <v>0</v>
      </c>
      <c r="W334" s="32">
        <f t="shared" ref="W334:AC334" si="544">W335+W336+W337</f>
        <v>0</v>
      </c>
      <c r="X334" s="32">
        <f t="shared" si="544"/>
        <v>0</v>
      </c>
      <c r="Y334" s="32">
        <f t="shared" si="544"/>
        <v>0</v>
      </c>
      <c r="Z334" s="32">
        <f t="shared" si="544"/>
        <v>0</v>
      </c>
      <c r="AA334" s="32">
        <f t="shared" si="544"/>
        <v>0</v>
      </c>
      <c r="AB334" s="32">
        <f t="shared" si="544"/>
        <v>0</v>
      </c>
      <c r="AC334" s="32">
        <f t="shared" si="544"/>
        <v>0</v>
      </c>
      <c r="AD334" s="32">
        <f t="shared" si="502"/>
        <v>8727</v>
      </c>
    </row>
    <row r="335" spans="1:182" ht="17.25" customHeight="1">
      <c r="A335" s="45"/>
      <c r="B335" s="13" t="s">
        <v>30</v>
      </c>
      <c r="C335" s="35"/>
      <c r="D335" s="36"/>
      <c r="E335" s="37"/>
      <c r="F335" s="38">
        <f>H335+I335+AD335</f>
        <v>15369.243</v>
      </c>
      <c r="G335" s="39">
        <v>0</v>
      </c>
      <c r="H335" s="38">
        <v>0</v>
      </c>
      <c r="I335" s="38">
        <f>SUM(K335:O335)</f>
        <v>6642.2430000000004</v>
      </c>
      <c r="J335" s="38">
        <v>0</v>
      </c>
      <c r="K335" s="38">
        <v>875</v>
      </c>
      <c r="L335" s="38">
        <v>1321.5060000000001</v>
      </c>
      <c r="M335" s="38">
        <f>944.532-450-350</f>
        <v>144.53200000000004</v>
      </c>
      <c r="N335" s="94">
        <v>1135</v>
      </c>
      <c r="O335" s="94">
        <v>3166.2049999999999</v>
      </c>
      <c r="P335" s="93">
        <v>2727</v>
      </c>
      <c r="Q335" s="94">
        <v>2000</v>
      </c>
      <c r="R335" s="94">
        <v>4000</v>
      </c>
      <c r="S335" s="93">
        <v>4000</v>
      </c>
      <c r="T335" s="38">
        <v>0</v>
      </c>
      <c r="U335" s="38">
        <v>0</v>
      </c>
      <c r="V335" s="38">
        <v>0</v>
      </c>
      <c r="W335" s="38">
        <v>0</v>
      </c>
      <c r="X335" s="38">
        <v>0</v>
      </c>
      <c r="Y335" s="38">
        <v>0</v>
      </c>
      <c r="Z335" s="38">
        <v>0</v>
      </c>
      <c r="AA335" s="38">
        <v>0</v>
      </c>
      <c r="AB335" s="38">
        <v>0</v>
      </c>
      <c r="AC335" s="38">
        <v>0</v>
      </c>
      <c r="AD335" s="32">
        <f t="shared" si="502"/>
        <v>8727</v>
      </c>
    </row>
    <row r="336" spans="1:182" ht="17.25" customHeight="1">
      <c r="A336" s="45"/>
      <c r="B336" s="13" t="s">
        <v>218</v>
      </c>
      <c r="C336" s="35"/>
      <c r="D336" s="36"/>
      <c r="E336" s="37"/>
      <c r="F336" s="38">
        <f>H336+I336+AD336</f>
        <v>78.722999999999999</v>
      </c>
      <c r="G336" s="39"/>
      <c r="H336" s="38"/>
      <c r="I336" s="38">
        <f>SUM(K336:O336)</f>
        <v>78.722999999999999</v>
      </c>
      <c r="J336" s="38"/>
      <c r="K336" s="38">
        <v>0</v>
      </c>
      <c r="L336" s="38">
        <v>78.722999999999999</v>
      </c>
      <c r="M336" s="38">
        <v>0</v>
      </c>
      <c r="N336" s="94">
        <v>0</v>
      </c>
      <c r="O336" s="94">
        <v>0</v>
      </c>
      <c r="P336" s="94">
        <v>0</v>
      </c>
      <c r="Q336" s="94">
        <v>0</v>
      </c>
      <c r="R336" s="94">
        <v>0</v>
      </c>
      <c r="S336" s="94">
        <v>0</v>
      </c>
      <c r="T336" s="38">
        <v>0</v>
      </c>
      <c r="U336" s="38">
        <v>0</v>
      </c>
      <c r="V336" s="38">
        <v>0</v>
      </c>
      <c r="W336" s="38">
        <v>0</v>
      </c>
      <c r="X336" s="38">
        <v>0</v>
      </c>
      <c r="Y336" s="38">
        <v>0</v>
      </c>
      <c r="Z336" s="38">
        <v>0</v>
      </c>
      <c r="AA336" s="38">
        <v>0</v>
      </c>
      <c r="AB336" s="38">
        <v>0</v>
      </c>
      <c r="AC336" s="38">
        <v>0</v>
      </c>
      <c r="AD336" s="32">
        <f t="shared" si="502"/>
        <v>0</v>
      </c>
    </row>
    <row r="337" spans="1:32" ht="17.25" customHeight="1">
      <c r="A337" s="45"/>
      <c r="B337" s="43" t="s">
        <v>38</v>
      </c>
      <c r="C337" s="35"/>
      <c r="D337" s="36"/>
      <c r="E337" s="37"/>
      <c r="F337" s="38">
        <f>H337+I337+AD337</f>
        <v>0</v>
      </c>
      <c r="G337" s="39">
        <v>0</v>
      </c>
      <c r="H337" s="38">
        <v>0</v>
      </c>
      <c r="I337" s="38">
        <f>SUM(K337:O337)</f>
        <v>0</v>
      </c>
      <c r="J337" s="38">
        <v>0</v>
      </c>
      <c r="K337" s="38">
        <v>0</v>
      </c>
      <c r="L337" s="38">
        <v>0</v>
      </c>
      <c r="M337" s="38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38">
        <v>0</v>
      </c>
      <c r="U337" s="38">
        <v>0</v>
      </c>
      <c r="V337" s="38">
        <v>0</v>
      </c>
      <c r="W337" s="38">
        <v>0</v>
      </c>
      <c r="X337" s="38">
        <v>0</v>
      </c>
      <c r="Y337" s="38">
        <v>0</v>
      </c>
      <c r="Z337" s="38">
        <v>0</v>
      </c>
      <c r="AA337" s="38">
        <v>0</v>
      </c>
      <c r="AB337" s="38">
        <v>0</v>
      </c>
      <c r="AC337" s="38">
        <v>0</v>
      </c>
      <c r="AD337" s="32">
        <f t="shared" si="502"/>
        <v>0</v>
      </c>
    </row>
    <row r="338" spans="1:32" ht="21.75" customHeight="1">
      <c r="A338" s="80"/>
      <c r="B338" s="81"/>
      <c r="C338" s="82"/>
      <c r="D338" s="83"/>
      <c r="E338" s="84"/>
      <c r="F338" s="85"/>
      <c r="G338" s="86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7"/>
    </row>
    <row r="339" spans="1:32" ht="21.75" customHeight="1">
      <c r="A339" s="136" t="s">
        <v>219</v>
      </c>
      <c r="B339" s="133"/>
      <c r="C339" s="13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2" ht="21.75" customHeight="1">
      <c r="A340" s="88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90"/>
    </row>
    <row r="341" spans="1:32" ht="15.75" customHeight="1">
      <c r="A341" s="88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90"/>
      <c r="AE341" s="91"/>
      <c r="AF341" s="91"/>
    </row>
    <row r="342" spans="1:32" ht="15.75" customHeight="1">
      <c r="A342" s="18"/>
      <c r="B342" s="19" t="s">
        <v>220</v>
      </c>
      <c r="C342" s="18"/>
      <c r="D342" s="18"/>
      <c r="E342" s="18"/>
      <c r="F342" s="20">
        <f>F343+F344+F345+F346+F347</f>
        <v>7575454.1940000011</v>
      </c>
      <c r="G342" s="20">
        <f t="shared" ref="G342:AD342" si="545">G343+G344+G345+G346+G347</f>
        <v>2138530.233</v>
      </c>
      <c r="H342" s="20">
        <f t="shared" si="545"/>
        <v>2581915.9410000006</v>
      </c>
      <c r="I342" s="20">
        <f t="shared" si="545"/>
        <v>2737369.048</v>
      </c>
      <c r="J342" s="20">
        <f t="shared" si="545"/>
        <v>435345.95799999998</v>
      </c>
      <c r="K342" s="20">
        <f t="shared" si="545"/>
        <v>438047.299</v>
      </c>
      <c r="L342" s="20">
        <f t="shared" si="545"/>
        <v>346173.76899999997</v>
      </c>
      <c r="M342" s="20">
        <f t="shared" si="545"/>
        <v>450421.86399999994</v>
      </c>
      <c r="N342" s="20">
        <f t="shared" si="545"/>
        <v>763070.49100000015</v>
      </c>
      <c r="O342" s="20">
        <f t="shared" si="545"/>
        <v>739655.62500000012</v>
      </c>
      <c r="P342" s="20">
        <f t="shared" si="545"/>
        <v>635351.15399999998</v>
      </c>
      <c r="Q342" s="20">
        <f t="shared" si="545"/>
        <v>549977.65600000008</v>
      </c>
      <c r="R342" s="20">
        <f t="shared" si="545"/>
        <v>1070840.395</v>
      </c>
      <c r="S342" s="20">
        <f t="shared" si="545"/>
        <v>510154.84499999997</v>
      </c>
      <c r="T342" s="20">
        <f t="shared" si="545"/>
        <v>509928.11900000001</v>
      </c>
      <c r="U342" s="20">
        <f t="shared" si="545"/>
        <v>54820</v>
      </c>
      <c r="V342" s="20">
        <f t="shared" si="545"/>
        <v>6320</v>
      </c>
      <c r="W342" s="20">
        <f t="shared" si="545"/>
        <v>6320</v>
      </c>
      <c r="X342" s="20">
        <f t="shared" si="545"/>
        <v>6320</v>
      </c>
      <c r="Y342" s="20">
        <f t="shared" si="545"/>
        <v>6320</v>
      </c>
      <c r="Z342" s="20">
        <f t="shared" si="545"/>
        <v>0</v>
      </c>
      <c r="AA342" s="20">
        <f t="shared" si="545"/>
        <v>0</v>
      </c>
      <c r="AB342" s="20">
        <f t="shared" si="545"/>
        <v>0</v>
      </c>
      <c r="AC342" s="20">
        <f t="shared" si="545"/>
        <v>0</v>
      </c>
      <c r="AD342" s="20" t="e">
        <f t="shared" si="545"/>
        <v>#REF!</v>
      </c>
      <c r="AE342" s="91"/>
      <c r="AF342" s="91"/>
    </row>
    <row r="343" spans="1:32" ht="15.75" customHeight="1">
      <c r="A343" s="16"/>
      <c r="B343" s="13" t="s">
        <v>30</v>
      </c>
      <c r="C343" s="16"/>
      <c r="D343" s="16"/>
      <c r="E343" s="16"/>
      <c r="F343" s="17">
        <f>F349+F355+F361+F367+F373+F379+F385+F391+F397+F399+F405+F411+F417</f>
        <v>5562126.9760000007</v>
      </c>
      <c r="G343" s="17">
        <f t="shared" ref="G343:AD343" si="546">G349+G355+G361+G367+G373+G379+G385+G391+G397+G399+G405+G411+G417</f>
        <v>1260094.7399999998</v>
      </c>
      <c r="H343" s="17">
        <f t="shared" si="546"/>
        <v>1497320.0760000004</v>
      </c>
      <c r="I343" s="17">
        <f t="shared" si="546"/>
        <v>2172361.1109999996</v>
      </c>
      <c r="J343" s="17">
        <f t="shared" si="546"/>
        <v>237216.33599999998</v>
      </c>
      <c r="K343" s="17">
        <f t="shared" si="546"/>
        <v>375581.75800000003</v>
      </c>
      <c r="L343" s="17">
        <f t="shared" si="546"/>
        <v>295036.12400000001</v>
      </c>
      <c r="M343" s="17">
        <f t="shared" si="546"/>
        <v>329326.89399999997</v>
      </c>
      <c r="N343" s="17">
        <f t="shared" si="546"/>
        <v>581055.54</v>
      </c>
      <c r="O343" s="17">
        <f t="shared" si="546"/>
        <v>591360.79500000004</v>
      </c>
      <c r="P343" s="17">
        <f t="shared" si="546"/>
        <v>530410.64300000004</v>
      </c>
      <c r="Q343" s="17">
        <f t="shared" si="546"/>
        <v>461481.76799999998</v>
      </c>
      <c r="R343" s="17">
        <f t="shared" si="546"/>
        <v>900553.37800000003</v>
      </c>
      <c r="S343" s="17">
        <f t="shared" si="546"/>
        <v>435564.962</v>
      </c>
      <c r="T343" s="17">
        <f t="shared" si="546"/>
        <v>414230.98499999999</v>
      </c>
      <c r="U343" s="17">
        <f t="shared" si="546"/>
        <v>54820</v>
      </c>
      <c r="V343" s="17">
        <f t="shared" si="546"/>
        <v>6320</v>
      </c>
      <c r="W343" s="17">
        <f t="shared" si="546"/>
        <v>6320</v>
      </c>
      <c r="X343" s="17">
        <f t="shared" si="546"/>
        <v>6320</v>
      </c>
      <c r="Y343" s="17">
        <f t="shared" si="546"/>
        <v>6320</v>
      </c>
      <c r="Z343" s="17">
        <f t="shared" si="546"/>
        <v>0</v>
      </c>
      <c r="AA343" s="17">
        <f t="shared" si="546"/>
        <v>0</v>
      </c>
      <c r="AB343" s="17">
        <f t="shared" si="546"/>
        <v>0</v>
      </c>
      <c r="AC343" s="17">
        <f t="shared" si="546"/>
        <v>0</v>
      </c>
      <c r="AD343" s="17" t="e">
        <f t="shared" si="546"/>
        <v>#REF!</v>
      </c>
      <c r="AE343" s="91"/>
      <c r="AF343" s="91"/>
    </row>
    <row r="344" spans="1:32" ht="15.75" customHeight="1">
      <c r="A344" s="16"/>
      <c r="B344" s="13" t="s">
        <v>38</v>
      </c>
      <c r="C344" s="16"/>
      <c r="D344" s="16"/>
      <c r="E344" s="16"/>
      <c r="F344" s="17">
        <f>F350+F356+F362+F368+F374+F380+F386+F392+F400+F406+F412+F418</f>
        <v>931647.16399999999</v>
      </c>
      <c r="G344" s="17">
        <f t="shared" ref="G344:AD347" si="547">G350+G356+G362+G368+G374+G380+G386+G392+G400+G406+G412+G418</f>
        <v>72540.141000000003</v>
      </c>
      <c r="H344" s="17">
        <f t="shared" si="547"/>
        <v>144224.65700000001</v>
      </c>
      <c r="I344" s="17">
        <f t="shared" si="547"/>
        <v>426979.49100000004</v>
      </c>
      <c r="J344" s="17">
        <f t="shared" si="547"/>
        <v>71684.515999999989</v>
      </c>
      <c r="K344" s="17">
        <f t="shared" si="547"/>
        <v>25728.827000000001</v>
      </c>
      <c r="L344" s="17">
        <f t="shared" si="547"/>
        <v>592.81700000000001</v>
      </c>
      <c r="M344" s="17">
        <f t="shared" si="547"/>
        <v>92778.78899999999</v>
      </c>
      <c r="N344" s="17">
        <f t="shared" si="547"/>
        <v>163653.14799999999</v>
      </c>
      <c r="O344" s="17">
        <f t="shared" si="547"/>
        <v>144225.91</v>
      </c>
      <c r="P344" s="17">
        <f t="shared" si="547"/>
        <v>104780.51099999998</v>
      </c>
      <c r="Q344" s="17">
        <f t="shared" si="547"/>
        <v>88487.488000000012</v>
      </c>
      <c r="R344" s="17">
        <f t="shared" si="547"/>
        <v>167175.01699999999</v>
      </c>
      <c r="S344" s="17">
        <f t="shared" si="547"/>
        <v>71477.883000000002</v>
      </c>
      <c r="T344" s="17">
        <f t="shared" si="547"/>
        <v>95697.134000000005</v>
      </c>
      <c r="U344" s="17">
        <f t="shared" si="547"/>
        <v>0</v>
      </c>
      <c r="V344" s="17">
        <f t="shared" si="547"/>
        <v>0</v>
      </c>
      <c r="W344" s="17">
        <f t="shared" si="547"/>
        <v>0</v>
      </c>
      <c r="X344" s="17">
        <f t="shared" si="547"/>
        <v>0</v>
      </c>
      <c r="Y344" s="17">
        <f t="shared" si="547"/>
        <v>0</v>
      </c>
      <c r="Z344" s="17">
        <f t="shared" si="547"/>
        <v>0</v>
      </c>
      <c r="AA344" s="17">
        <f t="shared" si="547"/>
        <v>0</v>
      </c>
      <c r="AB344" s="17">
        <f t="shared" si="547"/>
        <v>0</v>
      </c>
      <c r="AC344" s="17">
        <f t="shared" si="547"/>
        <v>0</v>
      </c>
      <c r="AD344" s="17" t="e">
        <f t="shared" si="547"/>
        <v>#REF!</v>
      </c>
      <c r="AE344" s="91"/>
      <c r="AF344" s="91"/>
    </row>
    <row r="345" spans="1:32" ht="15.75" customHeight="1">
      <c r="A345" s="16"/>
      <c r="B345" s="13" t="s">
        <v>70</v>
      </c>
      <c r="C345" s="16"/>
      <c r="D345" s="16"/>
      <c r="E345" s="16"/>
      <c r="F345" s="17">
        <f>F351+F357+F363+F369+F375+F381+F387+F393+F401+F407+F413+F419</f>
        <v>33126.962</v>
      </c>
      <c r="G345" s="17">
        <f t="shared" si="547"/>
        <v>5050.22</v>
      </c>
      <c r="H345" s="17">
        <f t="shared" si="547"/>
        <v>5050.22</v>
      </c>
      <c r="I345" s="17">
        <f t="shared" si="547"/>
        <v>28076.741999999998</v>
      </c>
      <c r="J345" s="17">
        <f t="shared" si="547"/>
        <v>0</v>
      </c>
      <c r="K345" s="17">
        <f t="shared" si="547"/>
        <v>7000</v>
      </c>
      <c r="L345" s="17">
        <f t="shared" si="547"/>
        <v>13091</v>
      </c>
      <c r="M345" s="17">
        <f t="shared" si="547"/>
        <v>7681.0720000000001</v>
      </c>
      <c r="N345" s="17">
        <f t="shared" si="547"/>
        <v>195.75</v>
      </c>
      <c r="O345" s="17">
        <f t="shared" si="547"/>
        <v>108.92</v>
      </c>
      <c r="P345" s="17">
        <f t="shared" si="547"/>
        <v>0</v>
      </c>
      <c r="Q345" s="17">
        <f t="shared" si="547"/>
        <v>0</v>
      </c>
      <c r="R345" s="17">
        <f t="shared" si="547"/>
        <v>0</v>
      </c>
      <c r="S345" s="17">
        <f t="shared" si="547"/>
        <v>0</v>
      </c>
      <c r="T345" s="17">
        <f t="shared" si="547"/>
        <v>0</v>
      </c>
      <c r="U345" s="17">
        <f t="shared" si="547"/>
        <v>0</v>
      </c>
      <c r="V345" s="17">
        <f t="shared" si="547"/>
        <v>0</v>
      </c>
      <c r="W345" s="17">
        <f t="shared" si="547"/>
        <v>0</v>
      </c>
      <c r="X345" s="17">
        <f t="shared" si="547"/>
        <v>0</v>
      </c>
      <c r="Y345" s="17">
        <f t="shared" si="547"/>
        <v>0</v>
      </c>
      <c r="Z345" s="17">
        <f t="shared" si="547"/>
        <v>0</v>
      </c>
      <c r="AA345" s="17">
        <f t="shared" si="547"/>
        <v>0</v>
      </c>
      <c r="AB345" s="17">
        <f t="shared" si="547"/>
        <v>0</v>
      </c>
      <c r="AC345" s="17">
        <f t="shared" si="547"/>
        <v>0</v>
      </c>
      <c r="AD345" s="17">
        <f t="shared" si="547"/>
        <v>0</v>
      </c>
      <c r="AE345" s="91"/>
      <c r="AF345" s="91"/>
    </row>
    <row r="346" spans="1:32" ht="15.75" customHeight="1">
      <c r="A346" s="16"/>
      <c r="B346" s="13" t="s">
        <v>108</v>
      </c>
      <c r="C346" s="16"/>
      <c r="D346" s="16"/>
      <c r="E346" s="16"/>
      <c r="F346" s="17">
        <f>F352+F358+F364+F370+F376+F382+F388+F394+F402+F408+F414+F420</f>
        <v>66145.641999999993</v>
      </c>
      <c r="G346" s="17">
        <f t="shared" si="547"/>
        <v>10031</v>
      </c>
      <c r="H346" s="17">
        <f t="shared" si="547"/>
        <v>13662.351000000001</v>
      </c>
      <c r="I346" s="17">
        <f t="shared" si="547"/>
        <v>52483.290999999997</v>
      </c>
      <c r="J346" s="17">
        <f t="shared" si="547"/>
        <v>3631.3510000000001</v>
      </c>
      <c r="K346" s="17">
        <f t="shared" si="547"/>
        <v>20669.572</v>
      </c>
      <c r="L346" s="17">
        <f t="shared" si="547"/>
        <v>15820.778</v>
      </c>
      <c r="M346" s="17">
        <f t="shared" si="547"/>
        <v>11270.84</v>
      </c>
      <c r="N346" s="17">
        <f t="shared" si="547"/>
        <v>4722.1010000000006</v>
      </c>
      <c r="O346" s="17">
        <f t="shared" si="547"/>
        <v>0</v>
      </c>
      <c r="P346" s="17">
        <f t="shared" si="547"/>
        <v>0</v>
      </c>
      <c r="Q346" s="17">
        <f t="shared" si="547"/>
        <v>0</v>
      </c>
      <c r="R346" s="17">
        <f t="shared" si="547"/>
        <v>0</v>
      </c>
      <c r="S346" s="17">
        <f t="shared" si="547"/>
        <v>0</v>
      </c>
      <c r="T346" s="17">
        <f t="shared" si="547"/>
        <v>0</v>
      </c>
      <c r="U346" s="17">
        <f t="shared" si="547"/>
        <v>0</v>
      </c>
      <c r="V346" s="17">
        <f t="shared" si="547"/>
        <v>0</v>
      </c>
      <c r="W346" s="17">
        <f t="shared" si="547"/>
        <v>0</v>
      </c>
      <c r="X346" s="17">
        <f t="shared" si="547"/>
        <v>0</v>
      </c>
      <c r="Y346" s="17">
        <f t="shared" si="547"/>
        <v>0</v>
      </c>
      <c r="Z346" s="17">
        <f t="shared" si="547"/>
        <v>0</v>
      </c>
      <c r="AA346" s="17">
        <f t="shared" si="547"/>
        <v>0</v>
      </c>
      <c r="AB346" s="17">
        <f t="shared" si="547"/>
        <v>0</v>
      </c>
      <c r="AC346" s="17">
        <f t="shared" si="547"/>
        <v>0</v>
      </c>
      <c r="AD346" s="17" t="e">
        <f t="shared" si="547"/>
        <v>#REF!</v>
      </c>
      <c r="AE346" s="91"/>
      <c r="AF346" s="91"/>
    </row>
    <row r="347" spans="1:32" ht="15.75" customHeight="1">
      <c r="A347" s="16"/>
      <c r="B347" s="13" t="s">
        <v>35</v>
      </c>
      <c r="C347" s="16"/>
      <c r="D347" s="16"/>
      <c r="E347" s="16"/>
      <c r="F347" s="17">
        <f>F353+F359+F365+F371+F377+F383+F389+F395+F403+F409+F415+F421</f>
        <v>982407.45</v>
      </c>
      <c r="G347" s="17">
        <f t="shared" si="547"/>
        <v>790814.13199999998</v>
      </c>
      <c r="H347" s="17">
        <f t="shared" si="547"/>
        <v>921658.63699999999</v>
      </c>
      <c r="I347" s="17">
        <f t="shared" si="547"/>
        <v>57468.413</v>
      </c>
      <c r="J347" s="17">
        <f t="shared" si="547"/>
        <v>122813.755</v>
      </c>
      <c r="K347" s="17">
        <f t="shared" si="547"/>
        <v>9067.1419999999998</v>
      </c>
      <c r="L347" s="17">
        <f t="shared" si="547"/>
        <v>21633.05</v>
      </c>
      <c r="M347" s="17">
        <f t="shared" si="547"/>
        <v>9364.2690000000002</v>
      </c>
      <c r="N347" s="17">
        <f t="shared" si="547"/>
        <v>13443.951999999999</v>
      </c>
      <c r="O347" s="17">
        <f t="shared" si="547"/>
        <v>3960</v>
      </c>
      <c r="P347" s="17">
        <f t="shared" si="547"/>
        <v>160</v>
      </c>
      <c r="Q347" s="17">
        <f t="shared" si="547"/>
        <v>8.4</v>
      </c>
      <c r="R347" s="17">
        <f t="shared" si="547"/>
        <v>3112</v>
      </c>
      <c r="S347" s="17">
        <f t="shared" si="547"/>
        <v>3112</v>
      </c>
      <c r="T347" s="17">
        <f t="shared" si="547"/>
        <v>0</v>
      </c>
      <c r="U347" s="17">
        <f t="shared" si="547"/>
        <v>0</v>
      </c>
      <c r="V347" s="17">
        <f t="shared" si="547"/>
        <v>0</v>
      </c>
      <c r="W347" s="17">
        <f t="shared" si="547"/>
        <v>0</v>
      </c>
      <c r="X347" s="17">
        <f t="shared" si="547"/>
        <v>0</v>
      </c>
      <c r="Y347" s="17">
        <f t="shared" si="547"/>
        <v>0</v>
      </c>
      <c r="Z347" s="17">
        <f t="shared" si="547"/>
        <v>0</v>
      </c>
      <c r="AA347" s="17">
        <f t="shared" si="547"/>
        <v>0</v>
      </c>
      <c r="AB347" s="17">
        <f t="shared" si="547"/>
        <v>0</v>
      </c>
      <c r="AC347" s="17">
        <f t="shared" si="547"/>
        <v>0</v>
      </c>
      <c r="AD347" s="17" t="e">
        <f t="shared" si="547"/>
        <v>#REF!</v>
      </c>
      <c r="AE347" s="91"/>
      <c r="AF347" s="91"/>
    </row>
    <row r="348" spans="1:32" ht="15.75" customHeight="1">
      <c r="A348" s="18"/>
      <c r="B348" s="19" t="s">
        <v>221</v>
      </c>
      <c r="C348" s="18"/>
      <c r="D348" s="18"/>
      <c r="E348" s="18"/>
      <c r="F348" s="20">
        <f>F349+F350+F351+F352+F353</f>
        <v>3153771.4000000004</v>
      </c>
      <c r="G348" s="20">
        <f t="shared" ref="G348:AD348" si="548">G349+G350+G351+G352+G353</f>
        <v>424049.88500000001</v>
      </c>
      <c r="H348" s="20">
        <f t="shared" si="548"/>
        <v>475938.50400000002</v>
      </c>
      <c r="I348" s="20">
        <f t="shared" si="548"/>
        <v>1071452.804</v>
      </c>
      <c r="J348" s="20">
        <f t="shared" si="548"/>
        <v>43857.868999999999</v>
      </c>
      <c r="K348" s="20">
        <f t="shared" si="548"/>
        <v>99330.295999999988</v>
      </c>
      <c r="L348" s="20">
        <f t="shared" si="548"/>
        <v>102531.33599999998</v>
      </c>
      <c r="M348" s="20">
        <f t="shared" si="548"/>
        <v>187027.14799999999</v>
      </c>
      <c r="N348" s="20">
        <f t="shared" si="548"/>
        <v>287188.11500000005</v>
      </c>
      <c r="O348" s="20">
        <f t="shared" si="548"/>
        <v>395375.90900000004</v>
      </c>
      <c r="P348" s="20">
        <f t="shared" si="548"/>
        <v>462938.78399999999</v>
      </c>
      <c r="Q348" s="20">
        <f t="shared" si="548"/>
        <v>414091.93600000005</v>
      </c>
      <c r="R348" s="20">
        <f t="shared" si="548"/>
        <v>729349.37199999997</v>
      </c>
      <c r="S348" s="20">
        <f t="shared" si="548"/>
        <v>378463.82200000004</v>
      </c>
      <c r="T348" s="20">
        <f t="shared" si="548"/>
        <v>338628.11900000001</v>
      </c>
      <c r="U348" s="20">
        <f t="shared" si="548"/>
        <v>16320</v>
      </c>
      <c r="V348" s="20">
        <f t="shared" si="548"/>
        <v>6320</v>
      </c>
      <c r="W348" s="20">
        <f t="shared" si="548"/>
        <v>6320</v>
      </c>
      <c r="X348" s="20">
        <f t="shared" si="548"/>
        <v>6320</v>
      </c>
      <c r="Y348" s="20">
        <f t="shared" si="548"/>
        <v>6320</v>
      </c>
      <c r="Z348" s="20">
        <f t="shared" si="548"/>
        <v>0</v>
      </c>
      <c r="AA348" s="20">
        <f t="shared" si="548"/>
        <v>0</v>
      </c>
      <c r="AB348" s="20">
        <f t="shared" si="548"/>
        <v>0</v>
      </c>
      <c r="AC348" s="20">
        <f t="shared" si="548"/>
        <v>0</v>
      </c>
      <c r="AD348" s="20" t="e">
        <f t="shared" si="548"/>
        <v>#REF!</v>
      </c>
      <c r="AE348" s="92"/>
      <c r="AF348" s="92"/>
    </row>
    <row r="349" spans="1:32" ht="15.75" customHeight="1">
      <c r="A349" s="16"/>
      <c r="B349" s="13" t="s">
        <v>30</v>
      </c>
      <c r="C349" s="16"/>
      <c r="D349" s="16"/>
      <c r="E349" s="16"/>
      <c r="F349" s="17">
        <f t="shared" ref="F349:AD349" si="549">F8+F11+F13+F17+F20+F23+F26+F29+F32+F34+F38+F42+F44+F48+F50+F53+F56+F59+F62+F65+F68+F71+F73+F76+F80+F84+F91+F88</f>
        <v>2424681.3710000007</v>
      </c>
      <c r="G349" s="17">
        <f t="shared" si="549"/>
        <v>394002.75300000003</v>
      </c>
      <c r="H349" s="17">
        <f t="shared" si="549"/>
        <v>437762.22200000001</v>
      </c>
      <c r="I349" s="17">
        <f t="shared" si="549"/>
        <v>737580.2649999999</v>
      </c>
      <c r="J349" s="17">
        <f t="shared" si="549"/>
        <v>43759.468999999997</v>
      </c>
      <c r="K349" s="17">
        <f t="shared" si="549"/>
        <v>84390.733999999997</v>
      </c>
      <c r="L349" s="17">
        <f t="shared" si="549"/>
        <v>92927.860999999975</v>
      </c>
      <c r="M349" s="17">
        <f t="shared" si="549"/>
        <v>100754.598</v>
      </c>
      <c r="N349" s="17">
        <f>N8+N11+N13+N17+N20+N23+N26+N29+N32+N34+N38+N42+N44+N48+N50+N53+N56+N59+N62+N65+N68+N71+N73+N76+N80+N84+N91+N88</f>
        <v>162750.82100000003</v>
      </c>
      <c r="O349" s="17">
        <f t="shared" ref="O349:AC349" si="550">O8+O11+O13+O17+O20+O23+O26+O29+O32+O34+O38+O42+O44+O48+O50+O53+O56+O59+O62+O65+O68+O71+O73+O76+O80+O84+O91+O88</f>
        <v>296756.25100000005</v>
      </c>
      <c r="P349" s="17">
        <f t="shared" si="550"/>
        <v>364680.48100000003</v>
      </c>
      <c r="Q349" s="17">
        <f t="shared" si="550"/>
        <v>325596.04800000001</v>
      </c>
      <c r="R349" s="17">
        <f t="shared" si="550"/>
        <v>559062.35499999998</v>
      </c>
      <c r="S349" s="17">
        <f t="shared" si="550"/>
        <v>303873.93900000001</v>
      </c>
      <c r="T349" s="17">
        <f t="shared" si="550"/>
        <v>242930.98500000002</v>
      </c>
      <c r="U349" s="17">
        <f t="shared" si="550"/>
        <v>16320</v>
      </c>
      <c r="V349" s="17">
        <f t="shared" si="550"/>
        <v>6320</v>
      </c>
      <c r="W349" s="17">
        <f t="shared" si="550"/>
        <v>6320</v>
      </c>
      <c r="X349" s="17">
        <f t="shared" si="550"/>
        <v>6320</v>
      </c>
      <c r="Y349" s="17">
        <f t="shared" si="550"/>
        <v>6320</v>
      </c>
      <c r="Z349" s="17">
        <f t="shared" si="550"/>
        <v>0</v>
      </c>
      <c r="AA349" s="17">
        <f t="shared" si="550"/>
        <v>0</v>
      </c>
      <c r="AB349" s="17">
        <f t="shared" si="550"/>
        <v>0</v>
      </c>
      <c r="AC349" s="17">
        <f t="shared" si="550"/>
        <v>0</v>
      </c>
      <c r="AD349" s="17">
        <f t="shared" si="549"/>
        <v>1249338.8839999998</v>
      </c>
      <c r="AE349" s="91"/>
      <c r="AF349" s="91"/>
    </row>
    <row r="350" spans="1:32" ht="15.75" customHeight="1">
      <c r="A350" s="16"/>
      <c r="B350" s="13" t="s">
        <v>38</v>
      </c>
      <c r="C350" s="16"/>
      <c r="D350" s="16"/>
      <c r="E350" s="16"/>
      <c r="F350" s="17">
        <f t="shared" ref="F350:M350" si="551">F14+F18+F24+F27+F54+F57+F60+F63+F66+F69+F77+F81+F85+F89</f>
        <v>643851.56400000001</v>
      </c>
      <c r="G350" s="17">
        <f t="shared" si="551"/>
        <v>0</v>
      </c>
      <c r="H350" s="17">
        <f t="shared" si="551"/>
        <v>0</v>
      </c>
      <c r="I350" s="17">
        <f t="shared" si="551"/>
        <v>290090.75599999999</v>
      </c>
      <c r="J350" s="17">
        <f t="shared" si="551"/>
        <v>0</v>
      </c>
      <c r="K350" s="17">
        <f t="shared" si="551"/>
        <v>0</v>
      </c>
      <c r="L350" s="17">
        <f t="shared" si="551"/>
        <v>447.47499999999997</v>
      </c>
      <c r="M350" s="17">
        <f t="shared" si="551"/>
        <v>79578.280999999988</v>
      </c>
      <c r="N350" s="17">
        <f>N14+N18+N24+N27+N54+N57+N60+N63+N66+N69+N77+N81+N85+N89</f>
        <v>115405.342</v>
      </c>
      <c r="O350" s="17">
        <f t="shared" ref="O350:AC350" si="552">O14+O18+O24+O27+O54+O57+O60+O63+O66+O69+O77+O81+O85+O89</f>
        <v>94659.657999999996</v>
      </c>
      <c r="P350" s="17">
        <f t="shared" si="552"/>
        <v>98098.302999999985</v>
      </c>
      <c r="Q350" s="17">
        <f t="shared" si="552"/>
        <v>88487.488000000012</v>
      </c>
      <c r="R350" s="17">
        <f t="shared" si="552"/>
        <v>167175.01699999999</v>
      </c>
      <c r="S350" s="17">
        <f t="shared" si="552"/>
        <v>71477.883000000002</v>
      </c>
      <c r="T350" s="17">
        <f t="shared" si="552"/>
        <v>95697.134000000005</v>
      </c>
      <c r="U350" s="17">
        <f t="shared" si="552"/>
        <v>0</v>
      </c>
      <c r="V350" s="17">
        <f t="shared" si="552"/>
        <v>0</v>
      </c>
      <c r="W350" s="17">
        <f t="shared" si="552"/>
        <v>0</v>
      </c>
      <c r="X350" s="17">
        <f t="shared" si="552"/>
        <v>0</v>
      </c>
      <c r="Y350" s="17">
        <f t="shared" si="552"/>
        <v>0</v>
      </c>
      <c r="Z350" s="17">
        <f t="shared" si="552"/>
        <v>0</v>
      </c>
      <c r="AA350" s="17">
        <f t="shared" si="552"/>
        <v>0</v>
      </c>
      <c r="AB350" s="17">
        <f t="shared" si="552"/>
        <v>0</v>
      </c>
      <c r="AC350" s="17">
        <f t="shared" si="552"/>
        <v>0</v>
      </c>
      <c r="AD350" s="17" t="e">
        <f>AD14+#REF!+#REF!+AD18+#REF!+AD24+AD27+#REF!+AD54+AD57+AD60+AD63+AD66+AD69+AD77+AD81+AD85</f>
        <v>#REF!</v>
      </c>
      <c r="AE350" s="91"/>
      <c r="AF350" s="91"/>
    </row>
    <row r="351" spans="1:32" ht="15.75" customHeight="1">
      <c r="A351" s="16"/>
      <c r="B351" s="13" t="s">
        <v>70</v>
      </c>
      <c r="C351" s="16"/>
      <c r="D351" s="16"/>
      <c r="E351" s="16"/>
      <c r="F351" s="17">
        <f>F45</f>
        <v>3000</v>
      </c>
      <c r="G351" s="17">
        <f t="shared" ref="G351:AD351" si="553">G45</f>
        <v>0</v>
      </c>
      <c r="H351" s="17">
        <f t="shared" si="553"/>
        <v>0</v>
      </c>
      <c r="I351" s="17">
        <f t="shared" si="553"/>
        <v>3000</v>
      </c>
      <c r="J351" s="17">
        <f t="shared" si="553"/>
        <v>0</v>
      </c>
      <c r="K351" s="17">
        <f t="shared" si="553"/>
        <v>0</v>
      </c>
      <c r="L351" s="17">
        <f t="shared" si="553"/>
        <v>0</v>
      </c>
      <c r="M351" s="17">
        <f t="shared" si="553"/>
        <v>3000</v>
      </c>
      <c r="N351" s="17">
        <f t="shared" si="553"/>
        <v>0</v>
      </c>
      <c r="O351" s="17">
        <f t="shared" si="553"/>
        <v>0</v>
      </c>
      <c r="P351" s="17">
        <f t="shared" si="553"/>
        <v>0</v>
      </c>
      <c r="Q351" s="17">
        <f t="shared" si="553"/>
        <v>0</v>
      </c>
      <c r="R351" s="17">
        <f t="shared" si="553"/>
        <v>0</v>
      </c>
      <c r="S351" s="17">
        <f t="shared" si="553"/>
        <v>0</v>
      </c>
      <c r="T351" s="17">
        <f t="shared" si="553"/>
        <v>0</v>
      </c>
      <c r="U351" s="17">
        <f t="shared" si="553"/>
        <v>0</v>
      </c>
      <c r="V351" s="17">
        <f t="shared" si="553"/>
        <v>0</v>
      </c>
      <c r="W351" s="17">
        <f t="shared" si="553"/>
        <v>0</v>
      </c>
      <c r="X351" s="17">
        <f t="shared" si="553"/>
        <v>0</v>
      </c>
      <c r="Y351" s="17">
        <f t="shared" si="553"/>
        <v>0</v>
      </c>
      <c r="Z351" s="17">
        <f t="shared" si="553"/>
        <v>0</v>
      </c>
      <c r="AA351" s="17">
        <f t="shared" si="553"/>
        <v>0</v>
      </c>
      <c r="AB351" s="17">
        <f t="shared" si="553"/>
        <v>0</v>
      </c>
      <c r="AC351" s="17">
        <f t="shared" si="553"/>
        <v>0</v>
      </c>
      <c r="AD351" s="17">
        <f t="shared" si="553"/>
        <v>0</v>
      </c>
      <c r="AE351" s="91"/>
      <c r="AF351" s="91"/>
    </row>
    <row r="352" spans="1:32" ht="15.75" customHeight="1">
      <c r="A352" s="16"/>
      <c r="B352" s="13" t="s">
        <v>108</v>
      </c>
      <c r="C352" s="16"/>
      <c r="D352" s="16"/>
      <c r="E352" s="16"/>
      <c r="F352" s="17">
        <f>F36+F39</f>
        <v>10499.509</v>
      </c>
      <c r="G352" s="17">
        <f t="shared" ref="G352:AD352" si="554">G36+G39</f>
        <v>1711</v>
      </c>
      <c r="H352" s="17">
        <f t="shared" si="554"/>
        <v>1809.4</v>
      </c>
      <c r="I352" s="17">
        <f t="shared" si="554"/>
        <v>8690.1090000000004</v>
      </c>
      <c r="J352" s="17">
        <f t="shared" si="554"/>
        <v>98.4</v>
      </c>
      <c r="K352" s="17">
        <f t="shared" si="554"/>
        <v>8690.1090000000004</v>
      </c>
      <c r="L352" s="17">
        <f t="shared" si="554"/>
        <v>0</v>
      </c>
      <c r="M352" s="17">
        <f t="shared" si="554"/>
        <v>0</v>
      </c>
      <c r="N352" s="17">
        <f t="shared" si="554"/>
        <v>0</v>
      </c>
      <c r="O352" s="17">
        <f t="shared" si="554"/>
        <v>0</v>
      </c>
      <c r="P352" s="17">
        <f t="shared" si="554"/>
        <v>0</v>
      </c>
      <c r="Q352" s="17">
        <f t="shared" si="554"/>
        <v>0</v>
      </c>
      <c r="R352" s="17">
        <f t="shared" si="554"/>
        <v>0</v>
      </c>
      <c r="S352" s="17">
        <f t="shared" si="554"/>
        <v>0</v>
      </c>
      <c r="T352" s="17">
        <f t="shared" si="554"/>
        <v>0</v>
      </c>
      <c r="U352" s="17">
        <f t="shared" si="554"/>
        <v>0</v>
      </c>
      <c r="V352" s="17">
        <f t="shared" si="554"/>
        <v>0</v>
      </c>
      <c r="W352" s="17">
        <f t="shared" si="554"/>
        <v>0</v>
      </c>
      <c r="X352" s="17">
        <f t="shared" si="554"/>
        <v>0</v>
      </c>
      <c r="Y352" s="17">
        <f t="shared" si="554"/>
        <v>0</v>
      </c>
      <c r="Z352" s="17">
        <f t="shared" si="554"/>
        <v>0</v>
      </c>
      <c r="AA352" s="17">
        <f t="shared" si="554"/>
        <v>0</v>
      </c>
      <c r="AB352" s="17">
        <f t="shared" si="554"/>
        <v>0</v>
      </c>
      <c r="AC352" s="17">
        <f t="shared" si="554"/>
        <v>0</v>
      </c>
      <c r="AD352" s="17">
        <f t="shared" si="554"/>
        <v>0</v>
      </c>
      <c r="AE352" s="91"/>
      <c r="AF352" s="91"/>
    </row>
    <row r="353" spans="1:32" ht="15.75" customHeight="1">
      <c r="A353" s="16"/>
      <c r="B353" s="13" t="s">
        <v>35</v>
      </c>
      <c r="C353" s="16"/>
      <c r="D353" s="16"/>
      <c r="E353" s="16"/>
      <c r="F353" s="17">
        <f t="shared" ref="F353:AC353" si="555">F9+F15+F21+F30+F35+F40+F46+F51+F74+F78+F82+F86</f>
        <v>71738.955999999991</v>
      </c>
      <c r="G353" s="17">
        <f t="shared" si="555"/>
        <v>28336.132000000001</v>
      </c>
      <c r="H353" s="17">
        <f t="shared" si="555"/>
        <v>36366.882000000005</v>
      </c>
      <c r="I353" s="17">
        <f t="shared" si="555"/>
        <v>32091.673999999999</v>
      </c>
      <c r="J353" s="17">
        <f t="shared" si="555"/>
        <v>0</v>
      </c>
      <c r="K353" s="17">
        <f t="shared" si="555"/>
        <v>6249.4529999999995</v>
      </c>
      <c r="L353" s="17">
        <f t="shared" si="555"/>
        <v>9156</v>
      </c>
      <c r="M353" s="17">
        <f t="shared" si="555"/>
        <v>3694.2689999999998</v>
      </c>
      <c r="N353" s="17">
        <f>N9+N15+N21+N30+N35+N40+N46+N51+N74+N78+N82+N86</f>
        <v>9031.9519999999993</v>
      </c>
      <c r="O353" s="17">
        <f t="shared" si="555"/>
        <v>3960</v>
      </c>
      <c r="P353" s="17">
        <f t="shared" si="555"/>
        <v>160</v>
      </c>
      <c r="Q353" s="17">
        <f t="shared" si="555"/>
        <v>8.4</v>
      </c>
      <c r="R353" s="17">
        <f t="shared" si="555"/>
        <v>3112</v>
      </c>
      <c r="S353" s="17">
        <f t="shared" si="555"/>
        <v>3112</v>
      </c>
      <c r="T353" s="17">
        <f t="shared" si="555"/>
        <v>0</v>
      </c>
      <c r="U353" s="17">
        <f t="shared" si="555"/>
        <v>0</v>
      </c>
      <c r="V353" s="17">
        <f t="shared" si="555"/>
        <v>0</v>
      </c>
      <c r="W353" s="17">
        <f t="shared" si="555"/>
        <v>0</v>
      </c>
      <c r="X353" s="17">
        <f t="shared" si="555"/>
        <v>0</v>
      </c>
      <c r="Y353" s="17">
        <f t="shared" si="555"/>
        <v>0</v>
      </c>
      <c r="Z353" s="17">
        <f t="shared" si="555"/>
        <v>0</v>
      </c>
      <c r="AA353" s="17">
        <f t="shared" si="555"/>
        <v>0</v>
      </c>
      <c r="AB353" s="17">
        <f t="shared" si="555"/>
        <v>0</v>
      </c>
      <c r="AC353" s="17">
        <f t="shared" si="555"/>
        <v>0</v>
      </c>
      <c r="AD353" s="17" t="e">
        <f>AD9+AD15+#REF!+#REF!+#REF!+AD21+#REF!+#REF!+AD30+#REF!+#REF!+AD35+AD40+AD46+AD51+AD74+AD78+AD82+AD86</f>
        <v>#REF!</v>
      </c>
      <c r="AE353" s="91"/>
      <c r="AF353" s="91"/>
    </row>
    <row r="354" spans="1:32" ht="15.75" customHeight="1">
      <c r="A354" s="18"/>
      <c r="B354" s="19" t="s">
        <v>222</v>
      </c>
      <c r="C354" s="18"/>
      <c r="D354" s="18"/>
      <c r="E354" s="18"/>
      <c r="F354" s="20">
        <f>F355+F356+F357+F358+F359</f>
        <v>1708300.929</v>
      </c>
      <c r="G354" s="20">
        <f t="shared" ref="G354:AD354" si="556">G355+G356+G357+G358+G359</f>
        <v>940070.13500000001</v>
      </c>
      <c r="H354" s="20">
        <f t="shared" si="556"/>
        <v>1095257.3770000001</v>
      </c>
      <c r="I354" s="20">
        <f t="shared" si="556"/>
        <v>396626.29599999991</v>
      </c>
      <c r="J354" s="20">
        <f t="shared" si="556"/>
        <v>155187.242</v>
      </c>
      <c r="K354" s="20">
        <f t="shared" si="556"/>
        <v>40639.101999999992</v>
      </c>
      <c r="L354" s="20">
        <f t="shared" si="556"/>
        <v>66804.576000000001</v>
      </c>
      <c r="M354" s="20">
        <f t="shared" si="556"/>
        <v>56201.346000000005</v>
      </c>
      <c r="N354" s="20">
        <f t="shared" si="556"/>
        <v>114575.76999999999</v>
      </c>
      <c r="O354" s="20">
        <f t="shared" si="556"/>
        <v>118405.50199999999</v>
      </c>
      <c r="P354" s="20">
        <f t="shared" si="556"/>
        <v>61039.256000000001</v>
      </c>
      <c r="Q354" s="20">
        <f t="shared" si="556"/>
        <v>51078</v>
      </c>
      <c r="R354" s="20">
        <f t="shared" si="556"/>
        <v>104300</v>
      </c>
      <c r="S354" s="20">
        <f t="shared" si="556"/>
        <v>31600</v>
      </c>
      <c r="T354" s="20">
        <f t="shared" si="556"/>
        <v>72700</v>
      </c>
      <c r="U354" s="20">
        <f t="shared" si="556"/>
        <v>0</v>
      </c>
      <c r="V354" s="20">
        <f t="shared" si="556"/>
        <v>0</v>
      </c>
      <c r="W354" s="20">
        <f t="shared" si="556"/>
        <v>0</v>
      </c>
      <c r="X354" s="20">
        <f t="shared" si="556"/>
        <v>0</v>
      </c>
      <c r="Y354" s="20">
        <f t="shared" si="556"/>
        <v>0</v>
      </c>
      <c r="Z354" s="20">
        <f t="shared" si="556"/>
        <v>0</v>
      </c>
      <c r="AA354" s="20">
        <f t="shared" si="556"/>
        <v>0</v>
      </c>
      <c r="AB354" s="20">
        <f t="shared" si="556"/>
        <v>0</v>
      </c>
      <c r="AC354" s="20">
        <f t="shared" si="556"/>
        <v>0</v>
      </c>
      <c r="AD354" s="20" t="e">
        <f t="shared" si="556"/>
        <v>#REF!</v>
      </c>
      <c r="AE354" s="92"/>
      <c r="AF354" s="92"/>
    </row>
    <row r="355" spans="1:32" ht="15.75" customHeight="1">
      <c r="A355" s="16"/>
      <c r="B355" s="13" t="s">
        <v>30</v>
      </c>
      <c r="C355" s="16"/>
      <c r="D355" s="16"/>
      <c r="E355" s="16"/>
      <c r="F355" s="17">
        <f>F94+F101+F104+F107+F112+F116+F119+F134+F138+F142+F144+F146+F98+F122+F125+F128+F131</f>
        <v>719469.94099999988</v>
      </c>
      <c r="G355" s="17">
        <f t="shared" ref="G355:M355" si="557">G94+G101+G104+G107+G112+G116+G119+G134+G138+G142+G144+G146+G98+G122+G125+G128+G131</f>
        <v>150939.91</v>
      </c>
      <c r="H355" s="17">
        <f t="shared" si="557"/>
        <v>182521.804</v>
      </c>
      <c r="I355" s="17">
        <f t="shared" si="557"/>
        <v>325511.50999999989</v>
      </c>
      <c r="J355" s="17">
        <f t="shared" si="557"/>
        <v>31581.894</v>
      </c>
      <c r="K355" s="17">
        <f t="shared" si="557"/>
        <v>36612.841999999997</v>
      </c>
      <c r="L355" s="17">
        <f t="shared" si="557"/>
        <v>49316.248000000007</v>
      </c>
      <c r="M355" s="17">
        <f t="shared" si="557"/>
        <v>51508.792000000009</v>
      </c>
      <c r="N355" s="17">
        <f>N94+N101+N104+N107+N112+N116+N119+N134+N138+N142+N144+N146+N98+N122+N125+N128+N131</f>
        <v>92495.881999999983</v>
      </c>
      <c r="O355" s="17">
        <f t="shared" ref="O355:AC355" si="558">O94+O101+O104+O107+O112+O116+O119+O134+O138+O142+O144+O146+O98+O122+O125+O128+O131</f>
        <v>95577.745999999999</v>
      </c>
      <c r="P355" s="17">
        <f t="shared" si="558"/>
        <v>56058.627</v>
      </c>
      <c r="Q355" s="17">
        <f t="shared" si="558"/>
        <v>51078</v>
      </c>
      <c r="R355" s="17">
        <f t="shared" si="558"/>
        <v>104300</v>
      </c>
      <c r="S355" s="17">
        <f t="shared" si="558"/>
        <v>31600</v>
      </c>
      <c r="T355" s="17">
        <f t="shared" si="558"/>
        <v>72700</v>
      </c>
      <c r="U355" s="17">
        <f t="shared" si="558"/>
        <v>0</v>
      </c>
      <c r="V355" s="17">
        <f t="shared" si="558"/>
        <v>0</v>
      </c>
      <c r="W355" s="17">
        <f t="shared" si="558"/>
        <v>0</v>
      </c>
      <c r="X355" s="17">
        <f t="shared" si="558"/>
        <v>0</v>
      </c>
      <c r="Y355" s="17">
        <f t="shared" si="558"/>
        <v>0</v>
      </c>
      <c r="Z355" s="17">
        <f t="shared" si="558"/>
        <v>0</v>
      </c>
      <c r="AA355" s="17">
        <f t="shared" si="558"/>
        <v>0</v>
      </c>
      <c r="AB355" s="17">
        <f t="shared" si="558"/>
        <v>0</v>
      </c>
      <c r="AC355" s="17">
        <f t="shared" si="558"/>
        <v>0</v>
      </c>
      <c r="AD355" s="17" t="e">
        <f>AD94+#REF!+AD101+AD104+AD107+AD112+AD116+#REF!+AD119+AD134+AD138+AD142+#REF!+AD144+AD146+AD98+AD122+AD125+AD128+AD131</f>
        <v>#REF!</v>
      </c>
      <c r="AE355" s="91"/>
      <c r="AF355" s="91"/>
    </row>
    <row r="356" spans="1:32" ht="15.75" customHeight="1">
      <c r="A356" s="16"/>
      <c r="B356" s="13" t="s">
        <v>38</v>
      </c>
      <c r="C356" s="16"/>
      <c r="D356" s="16"/>
      <c r="E356" s="16"/>
      <c r="F356" s="17">
        <f>F113+F120+F135+F139+F99+F102+F105+F123+F126+F129+F132</f>
        <v>77130.043000000005</v>
      </c>
      <c r="G356" s="17">
        <f t="shared" ref="G356:M356" si="559">G113+G120+G135+G139+G99+G102+G105+G123+G126+G129+G132</f>
        <v>27153.224999999999</v>
      </c>
      <c r="H356" s="17">
        <f t="shared" si="559"/>
        <v>27944.817999999999</v>
      </c>
      <c r="I356" s="17">
        <f t="shared" si="559"/>
        <v>44204.595999999998</v>
      </c>
      <c r="J356" s="17">
        <f t="shared" si="559"/>
        <v>791.59299999999996</v>
      </c>
      <c r="K356" s="17">
        <f t="shared" si="559"/>
        <v>30.14</v>
      </c>
      <c r="L356" s="17">
        <f t="shared" si="559"/>
        <v>0</v>
      </c>
      <c r="M356" s="17">
        <f t="shared" si="559"/>
        <v>1471.482</v>
      </c>
      <c r="N356" s="17">
        <f>N113+N120+N135+N139+N99+N102+N105+N123+N126+N129+N132</f>
        <v>19984.137999999999</v>
      </c>
      <c r="O356" s="17">
        <f t="shared" ref="O356:AC356" si="560">O113+O120+O135+O139+O99+O102+O105+O123+O126+O129+O132</f>
        <v>22718.836000000003</v>
      </c>
      <c r="P356" s="17">
        <f t="shared" si="560"/>
        <v>4980.6289999999999</v>
      </c>
      <c r="Q356" s="17">
        <f t="shared" si="560"/>
        <v>0</v>
      </c>
      <c r="R356" s="17">
        <f t="shared" si="560"/>
        <v>0</v>
      </c>
      <c r="S356" s="17">
        <f t="shared" si="560"/>
        <v>0</v>
      </c>
      <c r="T356" s="17">
        <f t="shared" si="560"/>
        <v>0</v>
      </c>
      <c r="U356" s="17">
        <f t="shared" si="560"/>
        <v>0</v>
      </c>
      <c r="V356" s="17">
        <f t="shared" si="560"/>
        <v>0</v>
      </c>
      <c r="W356" s="17">
        <f t="shared" si="560"/>
        <v>0</v>
      </c>
      <c r="X356" s="17">
        <f t="shared" si="560"/>
        <v>0</v>
      </c>
      <c r="Y356" s="17">
        <f t="shared" si="560"/>
        <v>0</v>
      </c>
      <c r="Z356" s="17">
        <f t="shared" si="560"/>
        <v>0</v>
      </c>
      <c r="AA356" s="17">
        <f t="shared" si="560"/>
        <v>0</v>
      </c>
      <c r="AB356" s="17">
        <f t="shared" si="560"/>
        <v>0</v>
      </c>
      <c r="AC356" s="17">
        <f t="shared" si="560"/>
        <v>0</v>
      </c>
      <c r="AD356" s="17" t="e">
        <f>AD95+#REF!+AD102+AD105+AD108+AD113+AD117+#REF!+AD120+AD135+AD139+#REF!+AD143+AD145+AD147+AD99+AD123+AD126+AD129+AD132</f>
        <v>#REF!</v>
      </c>
      <c r="AE356" s="91"/>
      <c r="AF356" s="91"/>
    </row>
    <row r="357" spans="1:32" ht="15.75" customHeight="1">
      <c r="A357" s="16"/>
      <c r="B357" s="13" t="s">
        <v>70</v>
      </c>
      <c r="C357" s="16"/>
      <c r="D357" s="16"/>
      <c r="E357" s="16"/>
      <c r="F357" s="17">
        <f>F136</f>
        <v>335.74200000000002</v>
      </c>
      <c r="G357" s="17">
        <f t="shared" ref="G357:AD357" si="561">G136</f>
        <v>0</v>
      </c>
      <c r="H357" s="17">
        <f t="shared" si="561"/>
        <v>0</v>
      </c>
      <c r="I357" s="17">
        <f t="shared" si="561"/>
        <v>335.74200000000002</v>
      </c>
      <c r="J357" s="17">
        <f t="shared" si="561"/>
        <v>0</v>
      </c>
      <c r="K357" s="17">
        <f t="shared" si="561"/>
        <v>0</v>
      </c>
      <c r="L357" s="17">
        <f t="shared" si="561"/>
        <v>0</v>
      </c>
      <c r="M357" s="17">
        <f t="shared" si="561"/>
        <v>31.071999999999999</v>
      </c>
      <c r="N357" s="17">
        <f t="shared" si="561"/>
        <v>195.75</v>
      </c>
      <c r="O357" s="17">
        <f t="shared" si="561"/>
        <v>108.92</v>
      </c>
      <c r="P357" s="17">
        <f t="shared" si="561"/>
        <v>0</v>
      </c>
      <c r="Q357" s="17">
        <f t="shared" si="561"/>
        <v>0</v>
      </c>
      <c r="R357" s="17">
        <f t="shared" si="561"/>
        <v>0</v>
      </c>
      <c r="S357" s="17">
        <f t="shared" si="561"/>
        <v>0</v>
      </c>
      <c r="T357" s="17">
        <f t="shared" si="561"/>
        <v>0</v>
      </c>
      <c r="U357" s="17">
        <f t="shared" si="561"/>
        <v>0</v>
      </c>
      <c r="V357" s="17">
        <f t="shared" si="561"/>
        <v>0</v>
      </c>
      <c r="W357" s="17">
        <f t="shared" si="561"/>
        <v>0</v>
      </c>
      <c r="X357" s="17">
        <f t="shared" si="561"/>
        <v>0</v>
      </c>
      <c r="Y357" s="17">
        <f t="shared" si="561"/>
        <v>0</v>
      </c>
      <c r="Z357" s="17">
        <f t="shared" si="561"/>
        <v>0</v>
      </c>
      <c r="AA357" s="17">
        <f t="shared" si="561"/>
        <v>0</v>
      </c>
      <c r="AB357" s="17">
        <f t="shared" si="561"/>
        <v>0</v>
      </c>
      <c r="AC357" s="17">
        <f t="shared" si="561"/>
        <v>0</v>
      </c>
      <c r="AD357" s="17">
        <f t="shared" si="561"/>
        <v>0</v>
      </c>
      <c r="AE357" s="91"/>
      <c r="AF357" s="91"/>
    </row>
    <row r="358" spans="1:32" ht="15.75" customHeight="1">
      <c r="A358" s="16"/>
      <c r="B358" s="13" t="s">
        <v>108</v>
      </c>
      <c r="C358" s="16"/>
      <c r="D358" s="16"/>
      <c r="E358" s="16"/>
      <c r="F358" s="17">
        <f>F114+F96</f>
        <v>7999.7089999999989</v>
      </c>
      <c r="G358" s="17">
        <f t="shared" ref="G358:AD358" si="562">G114+G96</f>
        <v>0</v>
      </c>
      <c r="H358" s="17">
        <f t="shared" si="562"/>
        <v>0</v>
      </c>
      <c r="I358" s="17">
        <f t="shared" si="562"/>
        <v>7999.7089999999989</v>
      </c>
      <c r="J358" s="17">
        <f t="shared" si="562"/>
        <v>0</v>
      </c>
      <c r="K358" s="17">
        <f t="shared" si="562"/>
        <v>2808.431</v>
      </c>
      <c r="L358" s="17">
        <f t="shared" si="562"/>
        <v>5191.2780000000002</v>
      </c>
      <c r="M358" s="17">
        <f t="shared" si="562"/>
        <v>0</v>
      </c>
      <c r="N358" s="17">
        <f t="shared" si="562"/>
        <v>0</v>
      </c>
      <c r="O358" s="17">
        <f t="shared" si="562"/>
        <v>0</v>
      </c>
      <c r="P358" s="17">
        <f t="shared" si="562"/>
        <v>0</v>
      </c>
      <c r="Q358" s="17">
        <f t="shared" si="562"/>
        <v>0</v>
      </c>
      <c r="R358" s="17">
        <f t="shared" si="562"/>
        <v>0</v>
      </c>
      <c r="S358" s="17">
        <f t="shared" si="562"/>
        <v>0</v>
      </c>
      <c r="T358" s="17">
        <f t="shared" si="562"/>
        <v>0</v>
      </c>
      <c r="U358" s="17">
        <f t="shared" si="562"/>
        <v>0</v>
      </c>
      <c r="V358" s="17">
        <f t="shared" si="562"/>
        <v>0</v>
      </c>
      <c r="W358" s="17">
        <f t="shared" si="562"/>
        <v>0</v>
      </c>
      <c r="X358" s="17">
        <f t="shared" si="562"/>
        <v>0</v>
      </c>
      <c r="Y358" s="17">
        <f t="shared" si="562"/>
        <v>0</v>
      </c>
      <c r="Z358" s="17">
        <f t="shared" si="562"/>
        <v>0</v>
      </c>
      <c r="AA358" s="17">
        <f t="shared" si="562"/>
        <v>0</v>
      </c>
      <c r="AB358" s="17">
        <f t="shared" si="562"/>
        <v>0</v>
      </c>
      <c r="AC358" s="17">
        <f t="shared" si="562"/>
        <v>0</v>
      </c>
      <c r="AD358" s="17">
        <f t="shared" si="562"/>
        <v>0</v>
      </c>
      <c r="AE358" s="91"/>
      <c r="AF358" s="91"/>
    </row>
    <row r="359" spans="1:32" ht="15.75" customHeight="1">
      <c r="A359" s="16"/>
      <c r="B359" s="13" t="s">
        <v>35</v>
      </c>
      <c r="C359" s="16"/>
      <c r="D359" s="16"/>
      <c r="E359" s="16"/>
      <c r="F359" s="17">
        <f>F108+F109+F110+F117+F140</f>
        <v>903365.49399999995</v>
      </c>
      <c r="G359" s="17">
        <f t="shared" ref="G359:M359" si="563">G108+G109+G110+G117+G140</f>
        <v>761977</v>
      </c>
      <c r="H359" s="17">
        <f t="shared" si="563"/>
        <v>884790.755</v>
      </c>
      <c r="I359" s="17">
        <f t="shared" si="563"/>
        <v>18574.739000000001</v>
      </c>
      <c r="J359" s="17">
        <f t="shared" si="563"/>
        <v>122813.755</v>
      </c>
      <c r="K359" s="17">
        <f t="shared" si="563"/>
        <v>1187.6890000000001</v>
      </c>
      <c r="L359" s="17">
        <f t="shared" si="563"/>
        <v>12297.05</v>
      </c>
      <c r="M359" s="17">
        <f t="shared" si="563"/>
        <v>3190</v>
      </c>
      <c r="N359" s="17">
        <f>N108+N109+N110+N117+N140</f>
        <v>1900</v>
      </c>
      <c r="O359" s="17">
        <f t="shared" ref="O359:AC359" si="564">O108+O109+O110+O117+O140</f>
        <v>0</v>
      </c>
      <c r="P359" s="17">
        <f t="shared" si="564"/>
        <v>0</v>
      </c>
      <c r="Q359" s="17">
        <f t="shared" si="564"/>
        <v>0</v>
      </c>
      <c r="R359" s="17">
        <f t="shared" si="564"/>
        <v>0</v>
      </c>
      <c r="S359" s="17">
        <f t="shared" si="564"/>
        <v>0</v>
      </c>
      <c r="T359" s="17">
        <f t="shared" si="564"/>
        <v>0</v>
      </c>
      <c r="U359" s="17">
        <f t="shared" si="564"/>
        <v>0</v>
      </c>
      <c r="V359" s="17">
        <f t="shared" si="564"/>
        <v>0</v>
      </c>
      <c r="W359" s="17">
        <f t="shared" si="564"/>
        <v>0</v>
      </c>
      <c r="X359" s="17">
        <f t="shared" si="564"/>
        <v>0</v>
      </c>
      <c r="Y359" s="17">
        <f t="shared" si="564"/>
        <v>0</v>
      </c>
      <c r="Z359" s="17">
        <f t="shared" si="564"/>
        <v>0</v>
      </c>
      <c r="AA359" s="17">
        <f t="shared" si="564"/>
        <v>0</v>
      </c>
      <c r="AB359" s="17">
        <f t="shared" si="564"/>
        <v>0</v>
      </c>
      <c r="AC359" s="17">
        <f t="shared" si="564"/>
        <v>0</v>
      </c>
      <c r="AD359" s="17" t="e">
        <f>AD108+AD109+AD110+AD117+#REF!+AD140</f>
        <v>#REF!</v>
      </c>
      <c r="AE359" s="91"/>
      <c r="AF359" s="91"/>
    </row>
    <row r="360" spans="1:32" ht="15.75" customHeight="1">
      <c r="A360" s="18"/>
      <c r="B360" s="19" t="s">
        <v>223</v>
      </c>
      <c r="C360" s="18"/>
      <c r="D360" s="18"/>
      <c r="E360" s="18"/>
      <c r="F360" s="20">
        <f>F361+F362+F363+F364+F365</f>
        <v>128909.10300000002</v>
      </c>
      <c r="G360" s="20">
        <f t="shared" ref="G360:AD360" si="565">G361+G362+G363+G364+G365</f>
        <v>43501.398999999998</v>
      </c>
      <c r="H360" s="20">
        <f t="shared" si="565"/>
        <v>48089.237999999998</v>
      </c>
      <c r="I360" s="20">
        <f t="shared" si="565"/>
        <v>57893.021000000001</v>
      </c>
      <c r="J360" s="20">
        <f t="shared" si="565"/>
        <v>4587.8389999999999</v>
      </c>
      <c r="K360" s="20">
        <f t="shared" si="565"/>
        <v>6841.7979999999998</v>
      </c>
      <c r="L360" s="20">
        <f t="shared" si="565"/>
        <v>4232.9879999999994</v>
      </c>
      <c r="M360" s="20">
        <f t="shared" si="565"/>
        <v>22254.175000000003</v>
      </c>
      <c r="N360" s="20">
        <f t="shared" si="565"/>
        <v>12042.228000000001</v>
      </c>
      <c r="O360" s="20">
        <f t="shared" si="565"/>
        <v>12521.832</v>
      </c>
      <c r="P360" s="20">
        <f t="shared" si="565"/>
        <v>20022.844000000001</v>
      </c>
      <c r="Q360" s="20">
        <f t="shared" si="565"/>
        <v>804</v>
      </c>
      <c r="R360" s="20">
        <f t="shared" si="565"/>
        <v>2100</v>
      </c>
      <c r="S360" s="20">
        <f t="shared" si="565"/>
        <v>800</v>
      </c>
      <c r="T360" s="20">
        <f t="shared" si="565"/>
        <v>800</v>
      </c>
      <c r="U360" s="20">
        <f t="shared" si="565"/>
        <v>500</v>
      </c>
      <c r="V360" s="20">
        <f t="shared" si="565"/>
        <v>0</v>
      </c>
      <c r="W360" s="20">
        <f t="shared" si="565"/>
        <v>0</v>
      </c>
      <c r="X360" s="20">
        <f t="shared" si="565"/>
        <v>0</v>
      </c>
      <c r="Y360" s="20">
        <f t="shared" si="565"/>
        <v>0</v>
      </c>
      <c r="Z360" s="20">
        <f t="shared" si="565"/>
        <v>0</v>
      </c>
      <c r="AA360" s="20">
        <f t="shared" si="565"/>
        <v>0</v>
      </c>
      <c r="AB360" s="20">
        <f t="shared" si="565"/>
        <v>0</v>
      </c>
      <c r="AC360" s="20">
        <f t="shared" si="565"/>
        <v>0</v>
      </c>
      <c r="AD360" s="20" t="e">
        <f t="shared" si="565"/>
        <v>#REF!</v>
      </c>
      <c r="AE360" s="92"/>
      <c r="AF360" s="92"/>
    </row>
    <row r="361" spans="1:32" ht="15.75" customHeight="1">
      <c r="A361" s="16"/>
      <c r="B361" s="13" t="s">
        <v>30</v>
      </c>
      <c r="C361" s="16"/>
      <c r="D361" s="16"/>
      <c r="E361" s="16"/>
      <c r="F361" s="17">
        <f>F149+F151+F153+F156+F159</f>
        <v>118746.10300000002</v>
      </c>
      <c r="G361" s="17">
        <f t="shared" ref="G361:M361" si="566">G149+G151+G153+G156+G159</f>
        <v>43000.398999999998</v>
      </c>
      <c r="H361" s="17">
        <f t="shared" si="566"/>
        <v>47588.237999999998</v>
      </c>
      <c r="I361" s="17">
        <f t="shared" si="566"/>
        <v>49931.021000000001</v>
      </c>
      <c r="J361" s="17">
        <f t="shared" si="566"/>
        <v>4587.8389999999999</v>
      </c>
      <c r="K361" s="17">
        <f t="shared" si="566"/>
        <v>5391.7979999999998</v>
      </c>
      <c r="L361" s="17">
        <f t="shared" si="566"/>
        <v>4232.9879999999994</v>
      </c>
      <c r="M361" s="17">
        <f t="shared" si="566"/>
        <v>19954.175000000003</v>
      </c>
      <c r="N361" s="17">
        <f>N149+N151+N153+N156+N159</f>
        <v>9530.228000000001</v>
      </c>
      <c r="O361" s="17">
        <f t="shared" ref="O361:AC361" si="567">O149+O151+O153+O156+O159</f>
        <v>10821.832</v>
      </c>
      <c r="P361" s="17">
        <f t="shared" si="567"/>
        <v>18322.844000000001</v>
      </c>
      <c r="Q361" s="17">
        <f t="shared" si="567"/>
        <v>804</v>
      </c>
      <c r="R361" s="17">
        <f t="shared" si="567"/>
        <v>2100</v>
      </c>
      <c r="S361" s="17">
        <f t="shared" si="567"/>
        <v>800</v>
      </c>
      <c r="T361" s="17">
        <f t="shared" si="567"/>
        <v>800</v>
      </c>
      <c r="U361" s="17">
        <f t="shared" si="567"/>
        <v>500</v>
      </c>
      <c r="V361" s="17">
        <f t="shared" si="567"/>
        <v>0</v>
      </c>
      <c r="W361" s="17">
        <f t="shared" si="567"/>
        <v>0</v>
      </c>
      <c r="X361" s="17">
        <f t="shared" si="567"/>
        <v>0</v>
      </c>
      <c r="Y361" s="17">
        <f t="shared" si="567"/>
        <v>0</v>
      </c>
      <c r="Z361" s="17">
        <f t="shared" si="567"/>
        <v>0</v>
      </c>
      <c r="AA361" s="17">
        <f t="shared" si="567"/>
        <v>0</v>
      </c>
      <c r="AB361" s="17">
        <f t="shared" si="567"/>
        <v>0</v>
      </c>
      <c r="AC361" s="17">
        <f t="shared" si="567"/>
        <v>0</v>
      </c>
      <c r="AD361" s="17" t="e">
        <f>AD149+AD151+AD153+AD156+AD159+#REF!</f>
        <v>#REF!</v>
      </c>
      <c r="AE361" s="91"/>
      <c r="AF361" s="91"/>
    </row>
    <row r="362" spans="1:32" ht="15.75" customHeight="1">
      <c r="A362" s="16"/>
      <c r="B362" s="13" t="s">
        <v>38</v>
      </c>
      <c r="C362" s="16"/>
      <c r="D362" s="16"/>
      <c r="E362" s="16"/>
      <c r="F362" s="17">
        <f>F157</f>
        <v>3400</v>
      </c>
      <c r="G362" s="17">
        <f t="shared" ref="G362:AD362" si="568">G157</f>
        <v>0</v>
      </c>
      <c r="H362" s="17">
        <f t="shared" si="568"/>
        <v>0</v>
      </c>
      <c r="I362" s="17">
        <f t="shared" si="568"/>
        <v>1700</v>
      </c>
      <c r="J362" s="17">
        <f t="shared" si="568"/>
        <v>0</v>
      </c>
      <c r="K362" s="17">
        <f t="shared" si="568"/>
        <v>0</v>
      </c>
      <c r="L362" s="17">
        <f t="shared" si="568"/>
        <v>0</v>
      </c>
      <c r="M362" s="17">
        <f t="shared" si="568"/>
        <v>0</v>
      </c>
      <c r="N362" s="17">
        <f t="shared" si="568"/>
        <v>0</v>
      </c>
      <c r="O362" s="17">
        <f t="shared" si="568"/>
        <v>1700</v>
      </c>
      <c r="P362" s="17">
        <f t="shared" si="568"/>
        <v>1700</v>
      </c>
      <c r="Q362" s="17">
        <f t="shared" si="568"/>
        <v>0</v>
      </c>
      <c r="R362" s="17">
        <f t="shared" si="568"/>
        <v>0</v>
      </c>
      <c r="S362" s="17">
        <f t="shared" si="568"/>
        <v>0</v>
      </c>
      <c r="T362" s="17">
        <f t="shared" si="568"/>
        <v>0</v>
      </c>
      <c r="U362" s="17">
        <f t="shared" si="568"/>
        <v>0</v>
      </c>
      <c r="V362" s="17">
        <f t="shared" si="568"/>
        <v>0</v>
      </c>
      <c r="W362" s="17">
        <f t="shared" si="568"/>
        <v>0</v>
      </c>
      <c r="X362" s="17">
        <f t="shared" si="568"/>
        <v>0</v>
      </c>
      <c r="Y362" s="17">
        <f t="shared" si="568"/>
        <v>0</v>
      </c>
      <c r="Z362" s="17">
        <f t="shared" si="568"/>
        <v>0</v>
      </c>
      <c r="AA362" s="17">
        <f t="shared" si="568"/>
        <v>0</v>
      </c>
      <c r="AB362" s="17">
        <f t="shared" si="568"/>
        <v>0</v>
      </c>
      <c r="AC362" s="17">
        <f t="shared" si="568"/>
        <v>0</v>
      </c>
      <c r="AD362" s="17">
        <f t="shared" si="568"/>
        <v>1700</v>
      </c>
      <c r="AE362" s="91"/>
      <c r="AF362" s="91"/>
    </row>
    <row r="363" spans="1:32" ht="15.75" customHeight="1">
      <c r="A363" s="16"/>
      <c r="B363" s="13" t="s">
        <v>70</v>
      </c>
      <c r="C363" s="16"/>
      <c r="D363" s="16"/>
      <c r="E363" s="16"/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>
        <v>0</v>
      </c>
      <c r="AE363" s="91"/>
      <c r="AF363" s="91"/>
    </row>
    <row r="364" spans="1:32" ht="15.75" customHeight="1">
      <c r="A364" s="16"/>
      <c r="B364" s="13" t="s">
        <v>108</v>
      </c>
      <c r="C364" s="16"/>
      <c r="D364" s="16"/>
      <c r="E364" s="16"/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>
        <v>0</v>
      </c>
      <c r="AE364" s="91"/>
      <c r="AF364" s="91"/>
    </row>
    <row r="365" spans="1:32" ht="15.75" customHeight="1">
      <c r="A365" s="16"/>
      <c r="B365" s="13" t="s">
        <v>35</v>
      </c>
      <c r="C365" s="16"/>
      <c r="D365" s="16"/>
      <c r="E365" s="16"/>
      <c r="F365" s="17">
        <f>F154</f>
        <v>6763</v>
      </c>
      <c r="G365" s="17">
        <f t="shared" ref="G365:AD365" si="569">G154</f>
        <v>501</v>
      </c>
      <c r="H365" s="17">
        <f t="shared" si="569"/>
        <v>501</v>
      </c>
      <c r="I365" s="17">
        <f t="shared" si="569"/>
        <v>6262</v>
      </c>
      <c r="J365" s="17">
        <f t="shared" si="569"/>
        <v>0</v>
      </c>
      <c r="K365" s="17">
        <f t="shared" si="569"/>
        <v>1450</v>
      </c>
      <c r="L365" s="17">
        <f t="shared" si="569"/>
        <v>0</v>
      </c>
      <c r="M365" s="17">
        <f t="shared" si="569"/>
        <v>2300</v>
      </c>
      <c r="N365" s="17">
        <f t="shared" si="569"/>
        <v>2512</v>
      </c>
      <c r="O365" s="17">
        <f t="shared" si="569"/>
        <v>0</v>
      </c>
      <c r="P365" s="17">
        <f t="shared" si="569"/>
        <v>0</v>
      </c>
      <c r="Q365" s="17">
        <f t="shared" si="569"/>
        <v>0</v>
      </c>
      <c r="R365" s="17">
        <f t="shared" si="569"/>
        <v>0</v>
      </c>
      <c r="S365" s="17">
        <f t="shared" si="569"/>
        <v>0</v>
      </c>
      <c r="T365" s="17">
        <f t="shared" si="569"/>
        <v>0</v>
      </c>
      <c r="U365" s="17">
        <f t="shared" si="569"/>
        <v>0</v>
      </c>
      <c r="V365" s="17">
        <f t="shared" si="569"/>
        <v>0</v>
      </c>
      <c r="W365" s="17">
        <f t="shared" si="569"/>
        <v>0</v>
      </c>
      <c r="X365" s="17">
        <f t="shared" si="569"/>
        <v>0</v>
      </c>
      <c r="Y365" s="17">
        <f t="shared" si="569"/>
        <v>0</v>
      </c>
      <c r="Z365" s="17">
        <f t="shared" si="569"/>
        <v>0</v>
      </c>
      <c r="AA365" s="17">
        <f t="shared" si="569"/>
        <v>0</v>
      </c>
      <c r="AB365" s="17">
        <f t="shared" si="569"/>
        <v>0</v>
      </c>
      <c r="AC365" s="17">
        <f t="shared" si="569"/>
        <v>0</v>
      </c>
      <c r="AD365" s="17">
        <f t="shared" si="569"/>
        <v>0</v>
      </c>
      <c r="AE365" s="91"/>
      <c r="AF365" s="91"/>
    </row>
    <row r="366" spans="1:32" ht="15.75" customHeight="1">
      <c r="A366" s="18"/>
      <c r="B366" s="19" t="s">
        <v>224</v>
      </c>
      <c r="C366" s="18"/>
      <c r="D366" s="18"/>
      <c r="E366" s="18"/>
      <c r="F366" s="20">
        <f>F367+F368+F369+F370+F371</f>
        <v>168106.80300000001</v>
      </c>
      <c r="G366" s="20">
        <f t="shared" ref="G366:AD366" si="570">G367+G368+G369+G370+G371</f>
        <v>69889.165999999997</v>
      </c>
      <c r="H366" s="20">
        <f t="shared" si="570"/>
        <v>75538.159</v>
      </c>
      <c r="I366" s="20">
        <f t="shared" si="570"/>
        <v>70168.644</v>
      </c>
      <c r="J366" s="20">
        <f t="shared" si="570"/>
        <v>5648.9930000000004</v>
      </c>
      <c r="K366" s="20">
        <f t="shared" si="570"/>
        <v>10841.687</v>
      </c>
      <c r="L366" s="20">
        <f t="shared" si="570"/>
        <v>8306.2360000000008</v>
      </c>
      <c r="M366" s="20">
        <f t="shared" si="570"/>
        <v>11850.699000000001</v>
      </c>
      <c r="N366" s="20">
        <f t="shared" si="570"/>
        <v>32415.116999999998</v>
      </c>
      <c r="O366" s="20">
        <f t="shared" si="570"/>
        <v>6754.9050000000007</v>
      </c>
      <c r="P366" s="20">
        <f t="shared" si="570"/>
        <v>4400</v>
      </c>
      <c r="Q366" s="20">
        <f t="shared" si="570"/>
        <v>6000</v>
      </c>
      <c r="R366" s="20">
        <f t="shared" si="570"/>
        <v>12000</v>
      </c>
      <c r="S366" s="20">
        <f t="shared" si="570"/>
        <v>6000</v>
      </c>
      <c r="T366" s="20">
        <f t="shared" si="570"/>
        <v>6000</v>
      </c>
      <c r="U366" s="20">
        <f t="shared" si="570"/>
        <v>0</v>
      </c>
      <c r="V366" s="20">
        <f t="shared" si="570"/>
        <v>0</v>
      </c>
      <c r="W366" s="20">
        <f t="shared" si="570"/>
        <v>0</v>
      </c>
      <c r="X366" s="20">
        <f t="shared" si="570"/>
        <v>0</v>
      </c>
      <c r="Y366" s="20">
        <f t="shared" si="570"/>
        <v>0</v>
      </c>
      <c r="Z366" s="20">
        <f t="shared" si="570"/>
        <v>0</v>
      </c>
      <c r="AA366" s="20">
        <f t="shared" si="570"/>
        <v>0</v>
      </c>
      <c r="AB366" s="20">
        <f t="shared" si="570"/>
        <v>0</v>
      </c>
      <c r="AC366" s="20">
        <f t="shared" si="570"/>
        <v>0</v>
      </c>
      <c r="AD366" s="20">
        <f t="shared" si="570"/>
        <v>22400</v>
      </c>
      <c r="AE366" s="92"/>
      <c r="AF366" s="92"/>
    </row>
    <row r="367" spans="1:32" ht="15.75" customHeight="1">
      <c r="A367" s="16"/>
      <c r="B367" s="13" t="s">
        <v>30</v>
      </c>
      <c r="C367" s="16"/>
      <c r="D367" s="16"/>
      <c r="E367" s="16"/>
      <c r="F367" s="17">
        <f t="shared" ref="F367:AD367" si="571">F162+F164+F168+F171+F176+F174</f>
        <v>155471.66900000002</v>
      </c>
      <c r="G367" s="17">
        <f t="shared" si="571"/>
        <v>69889.165999999997</v>
      </c>
      <c r="H367" s="17">
        <f t="shared" si="571"/>
        <v>75538.159</v>
      </c>
      <c r="I367" s="17">
        <f t="shared" si="571"/>
        <v>57533.509999999995</v>
      </c>
      <c r="J367" s="17">
        <f t="shared" si="571"/>
        <v>5648.9930000000004</v>
      </c>
      <c r="K367" s="17">
        <f t="shared" si="571"/>
        <v>10661.687</v>
      </c>
      <c r="L367" s="17">
        <f t="shared" si="571"/>
        <v>8126.2359999999999</v>
      </c>
      <c r="M367" s="17">
        <f t="shared" si="571"/>
        <v>9761.24</v>
      </c>
      <c r="N367" s="17">
        <f t="shared" si="571"/>
        <v>22229.441999999999</v>
      </c>
      <c r="O367" s="17">
        <f t="shared" si="571"/>
        <v>6754.9050000000007</v>
      </c>
      <c r="P367" s="17">
        <f t="shared" si="571"/>
        <v>4400</v>
      </c>
      <c r="Q367" s="17">
        <f t="shared" si="571"/>
        <v>6000</v>
      </c>
      <c r="R367" s="17">
        <f t="shared" si="571"/>
        <v>12000</v>
      </c>
      <c r="S367" s="17">
        <f t="shared" si="571"/>
        <v>6000</v>
      </c>
      <c r="T367" s="17">
        <f t="shared" si="571"/>
        <v>6000</v>
      </c>
      <c r="U367" s="17">
        <f t="shared" si="571"/>
        <v>0</v>
      </c>
      <c r="V367" s="17">
        <f t="shared" si="571"/>
        <v>0</v>
      </c>
      <c r="W367" s="17">
        <f t="shared" si="571"/>
        <v>0</v>
      </c>
      <c r="X367" s="17">
        <f t="shared" si="571"/>
        <v>0</v>
      </c>
      <c r="Y367" s="17">
        <f t="shared" si="571"/>
        <v>0</v>
      </c>
      <c r="Z367" s="17">
        <f t="shared" si="571"/>
        <v>0</v>
      </c>
      <c r="AA367" s="17">
        <f t="shared" si="571"/>
        <v>0</v>
      </c>
      <c r="AB367" s="17">
        <f t="shared" si="571"/>
        <v>0</v>
      </c>
      <c r="AC367" s="17">
        <f t="shared" si="571"/>
        <v>0</v>
      </c>
      <c r="AD367" s="17">
        <f t="shared" si="571"/>
        <v>22400</v>
      </c>
      <c r="AE367" s="91"/>
      <c r="AF367" s="91"/>
    </row>
    <row r="368" spans="1:32" ht="15.75" customHeight="1">
      <c r="A368" s="16"/>
      <c r="B368" s="13" t="s">
        <v>38</v>
      </c>
      <c r="C368" s="16"/>
      <c r="D368" s="16"/>
      <c r="E368" s="16"/>
      <c r="F368" s="17">
        <f t="shared" ref="F368:AD368" si="572">F165+F169+F172</f>
        <v>12095.133999999998</v>
      </c>
      <c r="G368" s="17">
        <f t="shared" si="572"/>
        <v>0</v>
      </c>
      <c r="H368" s="17">
        <f t="shared" si="572"/>
        <v>0</v>
      </c>
      <c r="I368" s="17">
        <f t="shared" si="572"/>
        <v>12095.133999999998</v>
      </c>
      <c r="J368" s="17">
        <f t="shared" si="572"/>
        <v>0</v>
      </c>
      <c r="K368" s="17">
        <f t="shared" si="572"/>
        <v>0</v>
      </c>
      <c r="L368" s="17">
        <f t="shared" si="572"/>
        <v>0</v>
      </c>
      <c r="M368" s="17">
        <f t="shared" si="572"/>
        <v>1909.4590000000001</v>
      </c>
      <c r="N368" s="17">
        <f t="shared" si="572"/>
        <v>10185.674999999999</v>
      </c>
      <c r="O368" s="17">
        <f t="shared" si="572"/>
        <v>0</v>
      </c>
      <c r="P368" s="17">
        <f t="shared" si="572"/>
        <v>0</v>
      </c>
      <c r="Q368" s="17">
        <f t="shared" si="572"/>
        <v>0</v>
      </c>
      <c r="R368" s="17">
        <f t="shared" si="572"/>
        <v>0</v>
      </c>
      <c r="S368" s="17">
        <f t="shared" si="572"/>
        <v>0</v>
      </c>
      <c r="T368" s="17">
        <f t="shared" si="572"/>
        <v>0</v>
      </c>
      <c r="U368" s="17">
        <f t="shared" si="572"/>
        <v>0</v>
      </c>
      <c r="V368" s="17">
        <f t="shared" si="572"/>
        <v>0</v>
      </c>
      <c r="W368" s="17">
        <f t="shared" si="572"/>
        <v>0</v>
      </c>
      <c r="X368" s="17">
        <f t="shared" si="572"/>
        <v>0</v>
      </c>
      <c r="Y368" s="17">
        <f t="shared" si="572"/>
        <v>0</v>
      </c>
      <c r="Z368" s="17">
        <f t="shared" si="572"/>
        <v>0</v>
      </c>
      <c r="AA368" s="17">
        <f t="shared" si="572"/>
        <v>0</v>
      </c>
      <c r="AB368" s="17">
        <f t="shared" si="572"/>
        <v>0</v>
      </c>
      <c r="AC368" s="17">
        <f t="shared" si="572"/>
        <v>0</v>
      </c>
      <c r="AD368" s="17">
        <f t="shared" si="572"/>
        <v>0</v>
      </c>
      <c r="AE368" s="91"/>
      <c r="AF368" s="91"/>
    </row>
    <row r="369" spans="1:32" ht="15.75" customHeight="1">
      <c r="A369" s="16"/>
      <c r="B369" s="13" t="s">
        <v>70</v>
      </c>
      <c r="C369" s="16"/>
      <c r="D369" s="16"/>
      <c r="E369" s="16"/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  <c r="X369" s="17">
        <v>0</v>
      </c>
      <c r="Y369" s="17">
        <v>0</v>
      </c>
      <c r="Z369" s="17">
        <v>0</v>
      </c>
      <c r="AA369" s="17">
        <v>0</v>
      </c>
      <c r="AB369" s="17">
        <v>0</v>
      </c>
      <c r="AC369" s="17">
        <v>0</v>
      </c>
      <c r="AD369" s="17">
        <v>0</v>
      </c>
      <c r="AE369" s="91"/>
      <c r="AF369" s="91"/>
    </row>
    <row r="370" spans="1:32" ht="15.75" customHeight="1">
      <c r="A370" s="16"/>
      <c r="B370" s="13" t="s">
        <v>108</v>
      </c>
      <c r="C370" s="16"/>
      <c r="D370" s="16"/>
      <c r="E370" s="16"/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v>0</v>
      </c>
      <c r="Z370" s="17">
        <v>0</v>
      </c>
      <c r="AA370" s="17">
        <v>0</v>
      </c>
      <c r="AB370" s="17">
        <v>0</v>
      </c>
      <c r="AC370" s="17">
        <v>0</v>
      </c>
      <c r="AD370" s="17">
        <v>0</v>
      </c>
      <c r="AE370" s="91"/>
      <c r="AF370" s="91"/>
    </row>
    <row r="371" spans="1:32" ht="15.75" customHeight="1">
      <c r="A371" s="16"/>
      <c r="B371" s="13" t="s">
        <v>35</v>
      </c>
      <c r="C371" s="16"/>
      <c r="D371" s="16"/>
      <c r="E371" s="16"/>
      <c r="F371" s="17">
        <f>F166</f>
        <v>540</v>
      </c>
      <c r="G371" s="17">
        <f t="shared" ref="G371:AD371" si="573">G166</f>
        <v>0</v>
      </c>
      <c r="H371" s="17">
        <f t="shared" si="573"/>
        <v>0</v>
      </c>
      <c r="I371" s="17">
        <f t="shared" si="573"/>
        <v>540</v>
      </c>
      <c r="J371" s="17">
        <f t="shared" si="573"/>
        <v>0</v>
      </c>
      <c r="K371" s="17">
        <f t="shared" si="573"/>
        <v>180</v>
      </c>
      <c r="L371" s="17">
        <f t="shared" si="573"/>
        <v>180</v>
      </c>
      <c r="M371" s="17">
        <f t="shared" si="573"/>
        <v>180</v>
      </c>
      <c r="N371" s="17">
        <f>N166</f>
        <v>0</v>
      </c>
      <c r="O371" s="17">
        <f>O166</f>
        <v>0</v>
      </c>
      <c r="P371" s="17">
        <f>P166</f>
        <v>0</v>
      </c>
      <c r="Q371" s="17">
        <f t="shared" si="573"/>
        <v>0</v>
      </c>
      <c r="R371" s="17">
        <f t="shared" si="573"/>
        <v>0</v>
      </c>
      <c r="S371" s="17">
        <f t="shared" si="573"/>
        <v>0</v>
      </c>
      <c r="T371" s="17">
        <f t="shared" si="573"/>
        <v>0</v>
      </c>
      <c r="U371" s="17">
        <f t="shared" si="573"/>
        <v>0</v>
      </c>
      <c r="V371" s="17">
        <f t="shared" si="573"/>
        <v>0</v>
      </c>
      <c r="W371" s="17">
        <f t="shared" si="573"/>
        <v>0</v>
      </c>
      <c r="X371" s="17">
        <f t="shared" si="573"/>
        <v>0</v>
      </c>
      <c r="Y371" s="17">
        <f t="shared" si="573"/>
        <v>0</v>
      </c>
      <c r="Z371" s="17">
        <f t="shared" si="573"/>
        <v>0</v>
      </c>
      <c r="AA371" s="17">
        <f t="shared" si="573"/>
        <v>0</v>
      </c>
      <c r="AB371" s="17">
        <f t="shared" si="573"/>
        <v>0</v>
      </c>
      <c r="AC371" s="17">
        <f t="shared" si="573"/>
        <v>0</v>
      </c>
      <c r="AD371" s="17">
        <f t="shared" si="573"/>
        <v>0</v>
      </c>
      <c r="AE371" s="91"/>
      <c r="AF371" s="91"/>
    </row>
    <row r="372" spans="1:32" ht="15.75" customHeight="1">
      <c r="A372" s="18"/>
      <c r="B372" s="19" t="s">
        <v>225</v>
      </c>
      <c r="C372" s="18"/>
      <c r="D372" s="18"/>
      <c r="E372" s="18"/>
      <c r="F372" s="20">
        <f>F373+F374+F375+F376+F377</f>
        <v>7781.6</v>
      </c>
      <c r="G372" s="20">
        <f t="shared" ref="G372:AD372" si="574">G373+G374+G375+G376+G377</f>
        <v>70</v>
      </c>
      <c r="H372" s="20">
        <f t="shared" si="574"/>
        <v>1000</v>
      </c>
      <c r="I372" s="20">
        <f t="shared" si="574"/>
        <v>4581.6000000000004</v>
      </c>
      <c r="J372" s="20">
        <f t="shared" si="574"/>
        <v>930</v>
      </c>
      <c r="K372" s="20">
        <f t="shared" si="574"/>
        <v>1000</v>
      </c>
      <c r="L372" s="20">
        <f t="shared" si="574"/>
        <v>360</v>
      </c>
      <c r="M372" s="20">
        <f t="shared" si="574"/>
        <v>1160</v>
      </c>
      <c r="N372" s="20">
        <f t="shared" si="574"/>
        <v>1061.5999999999999</v>
      </c>
      <c r="O372" s="20">
        <f t="shared" si="574"/>
        <v>1000</v>
      </c>
      <c r="P372" s="20">
        <f t="shared" si="574"/>
        <v>700</v>
      </c>
      <c r="Q372" s="20">
        <f t="shared" si="574"/>
        <v>500</v>
      </c>
      <c r="R372" s="20">
        <f t="shared" si="574"/>
        <v>1000</v>
      </c>
      <c r="S372" s="20">
        <f t="shared" si="574"/>
        <v>500</v>
      </c>
      <c r="T372" s="20">
        <f t="shared" si="574"/>
        <v>500</v>
      </c>
      <c r="U372" s="20">
        <f t="shared" si="574"/>
        <v>0</v>
      </c>
      <c r="V372" s="20">
        <f t="shared" si="574"/>
        <v>0</v>
      </c>
      <c r="W372" s="20">
        <f t="shared" si="574"/>
        <v>0</v>
      </c>
      <c r="X372" s="20">
        <f t="shared" si="574"/>
        <v>0</v>
      </c>
      <c r="Y372" s="20">
        <f t="shared" si="574"/>
        <v>0</v>
      </c>
      <c r="Z372" s="20">
        <f t="shared" si="574"/>
        <v>0</v>
      </c>
      <c r="AA372" s="20">
        <f t="shared" si="574"/>
        <v>0</v>
      </c>
      <c r="AB372" s="20">
        <f t="shared" si="574"/>
        <v>0</v>
      </c>
      <c r="AC372" s="20">
        <f t="shared" si="574"/>
        <v>0</v>
      </c>
      <c r="AD372" s="20" t="e">
        <f t="shared" si="574"/>
        <v>#REF!</v>
      </c>
      <c r="AE372" s="92"/>
      <c r="AF372" s="92"/>
    </row>
    <row r="373" spans="1:32" ht="15.75" customHeight="1">
      <c r="A373" s="16"/>
      <c r="B373" s="13" t="s">
        <v>30</v>
      </c>
      <c r="C373" s="16"/>
      <c r="D373" s="16"/>
      <c r="E373" s="16"/>
      <c r="F373" s="17">
        <f>F179</f>
        <v>7781.6</v>
      </c>
      <c r="G373" s="17">
        <f t="shared" ref="G373:M373" si="575">G179</f>
        <v>70</v>
      </c>
      <c r="H373" s="17">
        <f t="shared" si="575"/>
        <v>1000</v>
      </c>
      <c r="I373" s="17">
        <f t="shared" si="575"/>
        <v>4581.6000000000004</v>
      </c>
      <c r="J373" s="17">
        <f t="shared" si="575"/>
        <v>930</v>
      </c>
      <c r="K373" s="17">
        <f t="shared" si="575"/>
        <v>1000</v>
      </c>
      <c r="L373" s="17">
        <f t="shared" si="575"/>
        <v>360</v>
      </c>
      <c r="M373" s="17">
        <f t="shared" si="575"/>
        <v>1160</v>
      </c>
      <c r="N373" s="17">
        <f>N179</f>
        <v>1061.5999999999999</v>
      </c>
      <c r="O373" s="17">
        <f t="shared" ref="O373:AC373" si="576">O179</f>
        <v>1000</v>
      </c>
      <c r="P373" s="17">
        <f t="shared" si="576"/>
        <v>700</v>
      </c>
      <c r="Q373" s="17">
        <f t="shared" si="576"/>
        <v>500</v>
      </c>
      <c r="R373" s="17">
        <f t="shared" si="576"/>
        <v>1000</v>
      </c>
      <c r="S373" s="17">
        <f t="shared" si="576"/>
        <v>500</v>
      </c>
      <c r="T373" s="17">
        <f t="shared" si="576"/>
        <v>500</v>
      </c>
      <c r="U373" s="17">
        <f t="shared" si="576"/>
        <v>0</v>
      </c>
      <c r="V373" s="17">
        <f t="shared" si="576"/>
        <v>0</v>
      </c>
      <c r="W373" s="17">
        <f t="shared" si="576"/>
        <v>0</v>
      </c>
      <c r="X373" s="17">
        <f t="shared" si="576"/>
        <v>0</v>
      </c>
      <c r="Y373" s="17">
        <f t="shared" si="576"/>
        <v>0</v>
      </c>
      <c r="Z373" s="17">
        <f t="shared" si="576"/>
        <v>0</v>
      </c>
      <c r="AA373" s="17">
        <f t="shared" si="576"/>
        <v>0</v>
      </c>
      <c r="AB373" s="17">
        <f t="shared" si="576"/>
        <v>0</v>
      </c>
      <c r="AC373" s="17">
        <f t="shared" si="576"/>
        <v>0</v>
      </c>
      <c r="AD373" s="17" t="e">
        <f>#REF!+#REF!+AD179</f>
        <v>#REF!</v>
      </c>
      <c r="AE373" s="91"/>
      <c r="AF373" s="91"/>
    </row>
    <row r="374" spans="1:32" ht="15.75" customHeight="1">
      <c r="A374" s="16"/>
      <c r="B374" s="13" t="s">
        <v>38</v>
      </c>
      <c r="C374" s="16"/>
      <c r="D374" s="16"/>
      <c r="E374" s="16"/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7">
        <v>0</v>
      </c>
      <c r="T374" s="17">
        <v>0</v>
      </c>
      <c r="U374" s="17">
        <v>0</v>
      </c>
      <c r="V374" s="17">
        <v>0</v>
      </c>
      <c r="W374" s="17">
        <v>0</v>
      </c>
      <c r="X374" s="17">
        <v>0</v>
      </c>
      <c r="Y374" s="17">
        <v>0</v>
      </c>
      <c r="Z374" s="17">
        <v>0</v>
      </c>
      <c r="AA374" s="17">
        <v>0</v>
      </c>
      <c r="AB374" s="17">
        <v>0</v>
      </c>
      <c r="AC374" s="17">
        <v>0</v>
      </c>
      <c r="AD374" s="17" t="e">
        <f>#REF!</f>
        <v>#REF!</v>
      </c>
      <c r="AE374" s="91"/>
      <c r="AF374" s="91"/>
    </row>
    <row r="375" spans="1:32" ht="15.75" customHeight="1">
      <c r="A375" s="16"/>
      <c r="B375" s="13" t="s">
        <v>70</v>
      </c>
      <c r="C375" s="16"/>
      <c r="D375" s="16"/>
      <c r="E375" s="16"/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v>0</v>
      </c>
      <c r="Z375" s="17">
        <v>0</v>
      </c>
      <c r="AA375" s="17">
        <v>0</v>
      </c>
      <c r="AB375" s="17">
        <v>0</v>
      </c>
      <c r="AC375" s="17">
        <v>0</v>
      </c>
      <c r="AD375" s="17">
        <v>0</v>
      </c>
      <c r="AE375" s="91"/>
      <c r="AF375" s="91"/>
    </row>
    <row r="376" spans="1:32" ht="15.75" customHeight="1">
      <c r="A376" s="16"/>
      <c r="B376" s="13" t="s">
        <v>108</v>
      </c>
      <c r="C376" s="16"/>
      <c r="D376" s="16"/>
      <c r="E376" s="16"/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0</v>
      </c>
      <c r="W376" s="17">
        <v>0</v>
      </c>
      <c r="X376" s="17">
        <v>0</v>
      </c>
      <c r="Y376" s="17">
        <v>0</v>
      </c>
      <c r="Z376" s="17">
        <v>0</v>
      </c>
      <c r="AA376" s="17">
        <v>0</v>
      </c>
      <c r="AB376" s="17">
        <v>0</v>
      </c>
      <c r="AC376" s="17">
        <v>0</v>
      </c>
      <c r="AD376" s="17">
        <v>0</v>
      </c>
      <c r="AE376" s="91"/>
      <c r="AF376" s="91"/>
    </row>
    <row r="377" spans="1:32" ht="15.75" customHeight="1">
      <c r="A377" s="16"/>
      <c r="B377" s="13" t="s">
        <v>35</v>
      </c>
      <c r="C377" s="16"/>
      <c r="D377" s="16"/>
      <c r="E377" s="16"/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7">
        <v>0</v>
      </c>
      <c r="T377" s="17">
        <v>0</v>
      </c>
      <c r="U377" s="17">
        <v>0</v>
      </c>
      <c r="V377" s="17">
        <v>0</v>
      </c>
      <c r="W377" s="17">
        <v>0</v>
      </c>
      <c r="X377" s="17">
        <v>0</v>
      </c>
      <c r="Y377" s="17">
        <v>0</v>
      </c>
      <c r="Z377" s="17">
        <v>0</v>
      </c>
      <c r="AA377" s="17">
        <v>0</v>
      </c>
      <c r="AB377" s="17">
        <v>0</v>
      </c>
      <c r="AC377" s="17">
        <v>0</v>
      </c>
      <c r="AD377" s="17">
        <v>0</v>
      </c>
      <c r="AE377" s="91"/>
      <c r="AF377" s="91"/>
    </row>
    <row r="378" spans="1:32" ht="15.75" customHeight="1">
      <c r="A378" s="18"/>
      <c r="B378" s="19" t="s">
        <v>226</v>
      </c>
      <c r="C378" s="18"/>
      <c r="D378" s="18"/>
      <c r="E378" s="18"/>
      <c r="F378" s="20">
        <f>F379+F380+F381+F382+F383</f>
        <v>1002771.2389999998</v>
      </c>
      <c r="G378" s="20">
        <f t="shared" ref="G378:AD378" si="577">G379+G380+G381+G382+G383</f>
        <v>276667.29599999997</v>
      </c>
      <c r="H378" s="20">
        <f t="shared" si="577"/>
        <v>315983.24300000002</v>
      </c>
      <c r="I378" s="20">
        <f t="shared" si="577"/>
        <v>418870.58299999998</v>
      </c>
      <c r="J378" s="20">
        <f t="shared" si="577"/>
        <v>39315.947</v>
      </c>
      <c r="K378" s="20">
        <f t="shared" si="577"/>
        <v>76292.692999999999</v>
      </c>
      <c r="L378" s="20">
        <f t="shared" si="577"/>
        <v>67681.987000000008</v>
      </c>
      <c r="M378" s="20">
        <f t="shared" si="577"/>
        <v>92610.591000000015</v>
      </c>
      <c r="N378" s="20">
        <f t="shared" si="577"/>
        <v>130085.94600000001</v>
      </c>
      <c r="O378" s="20">
        <f t="shared" si="577"/>
        <v>52199.365999999995</v>
      </c>
      <c r="P378" s="20">
        <f t="shared" si="577"/>
        <v>40644.021000000001</v>
      </c>
      <c r="Q378" s="20">
        <f t="shared" si="577"/>
        <v>42873.392</v>
      </c>
      <c r="R378" s="20">
        <f t="shared" si="577"/>
        <v>184400</v>
      </c>
      <c r="S378" s="20">
        <f t="shared" si="577"/>
        <v>60100</v>
      </c>
      <c r="T378" s="20">
        <f t="shared" si="577"/>
        <v>86300</v>
      </c>
      <c r="U378" s="20">
        <f t="shared" si="577"/>
        <v>38000</v>
      </c>
      <c r="V378" s="20">
        <f t="shared" si="577"/>
        <v>0</v>
      </c>
      <c r="W378" s="20">
        <f t="shared" si="577"/>
        <v>0</v>
      </c>
      <c r="X378" s="20">
        <f t="shared" si="577"/>
        <v>0</v>
      </c>
      <c r="Y378" s="20">
        <f t="shared" si="577"/>
        <v>0</v>
      </c>
      <c r="Z378" s="20">
        <f t="shared" si="577"/>
        <v>0</v>
      </c>
      <c r="AA378" s="20">
        <f t="shared" si="577"/>
        <v>0</v>
      </c>
      <c r="AB378" s="20">
        <f t="shared" si="577"/>
        <v>0</v>
      </c>
      <c r="AC378" s="20">
        <f t="shared" si="577"/>
        <v>0</v>
      </c>
      <c r="AD378" s="20" t="e">
        <f t="shared" si="577"/>
        <v>#REF!</v>
      </c>
      <c r="AE378" s="92"/>
      <c r="AF378" s="92"/>
    </row>
    <row r="379" spans="1:32" ht="15.75" customHeight="1">
      <c r="A379" s="16"/>
      <c r="B379" s="13" t="s">
        <v>30</v>
      </c>
      <c r="C379" s="16"/>
      <c r="D379" s="16"/>
      <c r="E379" s="16"/>
      <c r="F379" s="17">
        <f t="shared" ref="F379:AC379" si="578">F182+F184+F187+F190+F193+F196+F199+F202+F205+F208+F211+F216+F214</f>
        <v>987775.9099999998</v>
      </c>
      <c r="G379" s="17">
        <f t="shared" si="578"/>
        <v>276667.29599999997</v>
      </c>
      <c r="H379" s="17">
        <f t="shared" si="578"/>
        <v>315983.24300000002</v>
      </c>
      <c r="I379" s="17">
        <f t="shared" si="578"/>
        <v>403875.25399999996</v>
      </c>
      <c r="J379" s="17">
        <f t="shared" si="578"/>
        <v>39315.947</v>
      </c>
      <c r="K379" s="17">
        <f t="shared" si="578"/>
        <v>76292.692999999999</v>
      </c>
      <c r="L379" s="17">
        <f t="shared" si="578"/>
        <v>67536.645000000004</v>
      </c>
      <c r="M379" s="17">
        <f t="shared" si="578"/>
        <v>83567.451000000015</v>
      </c>
      <c r="N379" s="17">
        <f t="shared" si="578"/>
        <v>124654.82900000001</v>
      </c>
      <c r="O379" s="17">
        <f t="shared" si="578"/>
        <v>51823.635999999991</v>
      </c>
      <c r="P379" s="17">
        <f t="shared" si="578"/>
        <v>40644.021000000001</v>
      </c>
      <c r="Q379" s="17">
        <f t="shared" si="578"/>
        <v>42873.392</v>
      </c>
      <c r="R379" s="17">
        <f t="shared" si="578"/>
        <v>184400</v>
      </c>
      <c r="S379" s="17">
        <f t="shared" si="578"/>
        <v>60100</v>
      </c>
      <c r="T379" s="17">
        <f t="shared" si="578"/>
        <v>86300</v>
      </c>
      <c r="U379" s="17">
        <f t="shared" si="578"/>
        <v>38000</v>
      </c>
      <c r="V379" s="17">
        <f t="shared" si="578"/>
        <v>0</v>
      </c>
      <c r="W379" s="17">
        <f t="shared" si="578"/>
        <v>0</v>
      </c>
      <c r="X379" s="17">
        <f t="shared" si="578"/>
        <v>0</v>
      </c>
      <c r="Y379" s="17">
        <f t="shared" si="578"/>
        <v>0</v>
      </c>
      <c r="Z379" s="17">
        <f t="shared" si="578"/>
        <v>0</v>
      </c>
      <c r="AA379" s="17">
        <f t="shared" si="578"/>
        <v>0</v>
      </c>
      <c r="AB379" s="17">
        <f t="shared" si="578"/>
        <v>0</v>
      </c>
      <c r="AC379" s="17">
        <f t="shared" si="578"/>
        <v>0</v>
      </c>
      <c r="AD379" s="17" t="e">
        <f>AD182+AD184+#REF!+#REF!+AD187+AD190+#REF!+#REF!+AD193+#REF!+AD196+AD199+#REF!+#REF!+AD202+AD205+AD208+AD211+AD216+AD214+#REF!</f>
        <v>#REF!</v>
      </c>
      <c r="AE379" s="91"/>
      <c r="AF379" s="91"/>
    </row>
    <row r="380" spans="1:32" ht="15.75" customHeight="1">
      <c r="A380" s="16"/>
      <c r="B380" s="13" t="s">
        <v>38</v>
      </c>
      <c r="C380" s="16"/>
      <c r="D380" s="16"/>
      <c r="E380" s="16"/>
      <c r="F380" s="17">
        <f t="shared" ref="F380:AC380" si="579">F185+F188+F191+F194+F197+F200+F203+F206+F209+F212</f>
        <v>14995.329000000002</v>
      </c>
      <c r="G380" s="17">
        <f t="shared" si="579"/>
        <v>0</v>
      </c>
      <c r="H380" s="17">
        <f t="shared" si="579"/>
        <v>0</v>
      </c>
      <c r="I380" s="17">
        <f t="shared" si="579"/>
        <v>14995.329000000002</v>
      </c>
      <c r="J380" s="17">
        <f t="shared" si="579"/>
        <v>0</v>
      </c>
      <c r="K380" s="17">
        <f t="shared" si="579"/>
        <v>0</v>
      </c>
      <c r="L380" s="17">
        <f t="shared" si="579"/>
        <v>145.34200000000001</v>
      </c>
      <c r="M380" s="17">
        <f t="shared" si="579"/>
        <v>9043.1400000000012</v>
      </c>
      <c r="N380" s="17">
        <f t="shared" si="579"/>
        <v>5431.1170000000002</v>
      </c>
      <c r="O380" s="17">
        <f t="shared" si="579"/>
        <v>375.72999999999996</v>
      </c>
      <c r="P380" s="17">
        <f t="shared" si="579"/>
        <v>0</v>
      </c>
      <c r="Q380" s="17">
        <f t="shared" si="579"/>
        <v>0</v>
      </c>
      <c r="R380" s="17">
        <f t="shared" si="579"/>
        <v>0</v>
      </c>
      <c r="S380" s="17">
        <f t="shared" si="579"/>
        <v>0</v>
      </c>
      <c r="T380" s="17">
        <f t="shared" si="579"/>
        <v>0</v>
      </c>
      <c r="U380" s="17">
        <f t="shared" si="579"/>
        <v>0</v>
      </c>
      <c r="V380" s="17">
        <f t="shared" si="579"/>
        <v>0</v>
      </c>
      <c r="W380" s="17">
        <f t="shared" si="579"/>
        <v>0</v>
      </c>
      <c r="X380" s="17">
        <f t="shared" si="579"/>
        <v>0</v>
      </c>
      <c r="Y380" s="17">
        <f t="shared" si="579"/>
        <v>0</v>
      </c>
      <c r="Z380" s="17">
        <f t="shared" si="579"/>
        <v>0</v>
      </c>
      <c r="AA380" s="17">
        <f t="shared" si="579"/>
        <v>0</v>
      </c>
      <c r="AB380" s="17">
        <f t="shared" si="579"/>
        <v>0</v>
      </c>
      <c r="AC380" s="17">
        <f t="shared" si="579"/>
        <v>0</v>
      </c>
      <c r="AD380" s="17" t="e">
        <f>AD185+#REF!+#REF!+AD188+AD191+#REF!+AD194+#REF!+AD197+AD200+AD203+AD206+AD209+AD212+#REF!</f>
        <v>#REF!</v>
      </c>
      <c r="AE380" s="91"/>
      <c r="AF380" s="91"/>
    </row>
    <row r="381" spans="1:32" ht="15.75" customHeight="1">
      <c r="A381" s="16"/>
      <c r="B381" s="13" t="s">
        <v>70</v>
      </c>
      <c r="C381" s="16"/>
      <c r="D381" s="16"/>
      <c r="E381" s="16"/>
      <c r="F381" s="17">
        <f>0</f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7">
        <v>0</v>
      </c>
      <c r="T381" s="17">
        <v>0</v>
      </c>
      <c r="U381" s="17">
        <v>0</v>
      </c>
      <c r="V381" s="17">
        <v>0</v>
      </c>
      <c r="W381" s="17">
        <v>0</v>
      </c>
      <c r="X381" s="17">
        <v>0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91"/>
      <c r="AF381" s="91"/>
    </row>
    <row r="382" spans="1:32" ht="15.75" customHeight="1">
      <c r="A382" s="16"/>
      <c r="B382" s="13" t="s">
        <v>108</v>
      </c>
      <c r="C382" s="16"/>
      <c r="D382" s="16"/>
      <c r="E382" s="16"/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7">
        <v>0</v>
      </c>
      <c r="U382" s="17">
        <v>0</v>
      </c>
      <c r="V382" s="17">
        <v>0</v>
      </c>
      <c r="W382" s="17">
        <v>0</v>
      </c>
      <c r="X382" s="17">
        <v>0</v>
      </c>
      <c r="Y382" s="17">
        <v>0</v>
      </c>
      <c r="Z382" s="17">
        <v>0</v>
      </c>
      <c r="AA382" s="17">
        <v>0</v>
      </c>
      <c r="AB382" s="17">
        <v>0</v>
      </c>
      <c r="AC382" s="17">
        <v>0</v>
      </c>
      <c r="AD382" s="17" t="e">
        <f>#REF!</f>
        <v>#REF!</v>
      </c>
      <c r="AE382" s="91"/>
      <c r="AF382" s="91"/>
    </row>
    <row r="383" spans="1:32" ht="15.75" customHeight="1">
      <c r="A383" s="16"/>
      <c r="B383" s="13" t="s">
        <v>35</v>
      </c>
      <c r="C383" s="16"/>
      <c r="D383" s="16"/>
      <c r="E383" s="16"/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  <c r="V383" s="17">
        <v>0</v>
      </c>
      <c r="W383" s="17">
        <v>0</v>
      </c>
      <c r="X383" s="17">
        <v>0</v>
      </c>
      <c r="Y383" s="17">
        <v>0</v>
      </c>
      <c r="Z383" s="17">
        <v>0</v>
      </c>
      <c r="AA383" s="17">
        <v>0</v>
      </c>
      <c r="AB383" s="17">
        <v>0</v>
      </c>
      <c r="AC383" s="17">
        <v>0</v>
      </c>
      <c r="AD383" s="17">
        <v>0</v>
      </c>
      <c r="AE383" s="91"/>
      <c r="AF383" s="91"/>
    </row>
    <row r="384" spans="1:32" ht="15.75" customHeight="1">
      <c r="A384" s="18"/>
      <c r="B384" s="19" t="s">
        <v>227</v>
      </c>
      <c r="C384" s="18"/>
      <c r="D384" s="18"/>
      <c r="E384" s="18"/>
      <c r="F384" s="20">
        <f>F385+F386+F387+F388+F389</f>
        <v>6028.97</v>
      </c>
      <c r="G384" s="20">
        <f t="shared" ref="G384:AD384" si="580">G385+G386+G387+G388+G389</f>
        <v>0</v>
      </c>
      <c r="H384" s="20">
        <f t="shared" si="580"/>
        <v>0</v>
      </c>
      <c r="I384" s="20">
        <f t="shared" si="580"/>
        <v>6028.97</v>
      </c>
      <c r="J384" s="20">
        <f t="shared" si="580"/>
        <v>0</v>
      </c>
      <c r="K384" s="20">
        <f t="shared" si="580"/>
        <v>2150</v>
      </c>
      <c r="L384" s="20">
        <f t="shared" si="580"/>
        <v>125</v>
      </c>
      <c r="M384" s="20">
        <f t="shared" si="580"/>
        <v>500</v>
      </c>
      <c r="N384" s="20">
        <f t="shared" si="580"/>
        <v>2769.69</v>
      </c>
      <c r="O384" s="20">
        <f t="shared" si="580"/>
        <v>484.28</v>
      </c>
      <c r="P384" s="20">
        <f t="shared" si="580"/>
        <v>0</v>
      </c>
      <c r="Q384" s="20">
        <f t="shared" si="580"/>
        <v>0</v>
      </c>
      <c r="R384" s="20">
        <f t="shared" si="580"/>
        <v>0</v>
      </c>
      <c r="S384" s="20">
        <f t="shared" si="580"/>
        <v>0</v>
      </c>
      <c r="T384" s="20">
        <f t="shared" si="580"/>
        <v>0</v>
      </c>
      <c r="U384" s="20">
        <f t="shared" si="580"/>
        <v>0</v>
      </c>
      <c r="V384" s="20">
        <f t="shared" si="580"/>
        <v>0</v>
      </c>
      <c r="W384" s="20">
        <f t="shared" si="580"/>
        <v>0</v>
      </c>
      <c r="X384" s="20">
        <f t="shared" si="580"/>
        <v>0</v>
      </c>
      <c r="Y384" s="20">
        <f t="shared" si="580"/>
        <v>0</v>
      </c>
      <c r="Z384" s="20">
        <f t="shared" si="580"/>
        <v>0</v>
      </c>
      <c r="AA384" s="20">
        <f t="shared" si="580"/>
        <v>0</v>
      </c>
      <c r="AB384" s="20">
        <f t="shared" si="580"/>
        <v>0</v>
      </c>
      <c r="AC384" s="20">
        <f t="shared" si="580"/>
        <v>0</v>
      </c>
      <c r="AD384" s="20" t="e">
        <f t="shared" si="580"/>
        <v>#REF!</v>
      </c>
      <c r="AE384" s="92"/>
      <c r="AF384" s="92"/>
    </row>
    <row r="385" spans="1:42" ht="15.75" customHeight="1">
      <c r="A385" s="16"/>
      <c r="B385" s="13" t="s">
        <v>30</v>
      </c>
      <c r="C385" s="16"/>
      <c r="D385" s="16"/>
      <c r="E385" s="16"/>
      <c r="F385" s="17">
        <f>F219+F221+F223</f>
        <v>6028.97</v>
      </c>
      <c r="G385" s="17">
        <f t="shared" ref="G385:AC385" si="581">G219+G221+G223</f>
        <v>0</v>
      </c>
      <c r="H385" s="17">
        <f t="shared" si="581"/>
        <v>0</v>
      </c>
      <c r="I385" s="17">
        <f t="shared" si="581"/>
        <v>6028.97</v>
      </c>
      <c r="J385" s="17">
        <f t="shared" si="581"/>
        <v>0</v>
      </c>
      <c r="K385" s="17">
        <f t="shared" si="581"/>
        <v>2150</v>
      </c>
      <c r="L385" s="17">
        <f t="shared" si="581"/>
        <v>125</v>
      </c>
      <c r="M385" s="17">
        <f t="shared" si="581"/>
        <v>500</v>
      </c>
      <c r="N385" s="17">
        <f t="shared" si="581"/>
        <v>2769.69</v>
      </c>
      <c r="O385" s="17">
        <f t="shared" si="581"/>
        <v>484.28</v>
      </c>
      <c r="P385" s="17">
        <f t="shared" si="581"/>
        <v>0</v>
      </c>
      <c r="Q385" s="17">
        <f t="shared" si="581"/>
        <v>0</v>
      </c>
      <c r="R385" s="17">
        <f t="shared" si="581"/>
        <v>0</v>
      </c>
      <c r="S385" s="17">
        <f t="shared" si="581"/>
        <v>0</v>
      </c>
      <c r="T385" s="17">
        <f t="shared" si="581"/>
        <v>0</v>
      </c>
      <c r="U385" s="17">
        <f t="shared" si="581"/>
        <v>0</v>
      </c>
      <c r="V385" s="17">
        <f t="shared" si="581"/>
        <v>0</v>
      </c>
      <c r="W385" s="17">
        <f t="shared" si="581"/>
        <v>0</v>
      </c>
      <c r="X385" s="17">
        <f t="shared" si="581"/>
        <v>0</v>
      </c>
      <c r="Y385" s="17">
        <f t="shared" si="581"/>
        <v>0</v>
      </c>
      <c r="Z385" s="17">
        <f t="shared" si="581"/>
        <v>0</v>
      </c>
      <c r="AA385" s="17">
        <f t="shared" si="581"/>
        <v>0</v>
      </c>
      <c r="AB385" s="17">
        <f t="shared" si="581"/>
        <v>0</v>
      </c>
      <c r="AC385" s="17">
        <f t="shared" si="581"/>
        <v>0</v>
      </c>
      <c r="AD385" s="17" t="e">
        <f>AD219+#REF!+#REF!+AD221+AD223</f>
        <v>#REF!</v>
      </c>
      <c r="AE385" s="91"/>
      <c r="AF385" s="91"/>
    </row>
    <row r="386" spans="1:42" ht="15.75" customHeight="1">
      <c r="A386" s="16"/>
      <c r="B386" s="13" t="s">
        <v>38</v>
      </c>
      <c r="C386" s="16"/>
      <c r="D386" s="16"/>
      <c r="E386" s="16"/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>
        <v>0</v>
      </c>
      <c r="AE386" s="91"/>
      <c r="AF386" s="91"/>
    </row>
    <row r="387" spans="1:42" ht="15.75" customHeight="1">
      <c r="A387" s="16"/>
      <c r="B387" s="13" t="s">
        <v>70</v>
      </c>
      <c r="C387" s="16"/>
      <c r="D387" s="16"/>
      <c r="E387" s="16"/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>
        <v>0</v>
      </c>
      <c r="AE387" s="91"/>
      <c r="AF387" s="91"/>
    </row>
    <row r="388" spans="1:42" ht="15.75" customHeight="1">
      <c r="A388" s="16"/>
      <c r="B388" s="13" t="s">
        <v>108</v>
      </c>
      <c r="C388" s="16"/>
      <c r="D388" s="16"/>
      <c r="E388" s="16"/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>
        <v>0</v>
      </c>
      <c r="AE388" s="91"/>
      <c r="AF388" s="91"/>
    </row>
    <row r="389" spans="1:42" ht="15.75" customHeight="1">
      <c r="A389" s="16"/>
      <c r="B389" s="13" t="s">
        <v>35</v>
      </c>
      <c r="C389" s="16"/>
      <c r="D389" s="16"/>
      <c r="E389" s="16"/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>
        <v>0</v>
      </c>
      <c r="AE389" s="91"/>
      <c r="AF389" s="91"/>
    </row>
    <row r="390" spans="1:42" ht="15.75" customHeight="1">
      <c r="A390" s="18"/>
      <c r="B390" s="19" t="s">
        <v>228</v>
      </c>
      <c r="C390" s="18"/>
      <c r="D390" s="18"/>
      <c r="E390" s="18"/>
      <c r="F390" s="20">
        <f>F391+F392+F393+F394+F395</f>
        <v>91317.042000000001</v>
      </c>
      <c r="G390" s="20">
        <f t="shared" ref="G390:AD390" si="582">G391+G392+G393+G394+G395</f>
        <v>42942.576999999997</v>
      </c>
      <c r="H390" s="20">
        <f t="shared" si="582"/>
        <v>44061.150999999998</v>
      </c>
      <c r="I390" s="20">
        <f t="shared" si="582"/>
        <v>38807.599999999999</v>
      </c>
      <c r="J390" s="20">
        <f t="shared" si="582"/>
        <v>1118.5740000000001</v>
      </c>
      <c r="K390" s="20">
        <f t="shared" si="582"/>
        <v>3084.5</v>
      </c>
      <c r="L390" s="20">
        <f t="shared" si="582"/>
        <v>3462.9939999999997</v>
      </c>
      <c r="M390" s="20">
        <f t="shared" si="582"/>
        <v>3214.0390000000002</v>
      </c>
      <c r="N390" s="20">
        <f t="shared" si="582"/>
        <v>10052.267</v>
      </c>
      <c r="O390" s="20">
        <f t="shared" si="582"/>
        <v>18993.8</v>
      </c>
      <c r="P390" s="20">
        <f t="shared" si="582"/>
        <v>5968.7860000000001</v>
      </c>
      <c r="Q390" s="20">
        <f t="shared" si="582"/>
        <v>2479.5050000000001</v>
      </c>
      <c r="R390" s="20">
        <f t="shared" si="582"/>
        <v>0</v>
      </c>
      <c r="S390" s="20">
        <f t="shared" si="582"/>
        <v>0</v>
      </c>
      <c r="T390" s="20">
        <f t="shared" si="582"/>
        <v>0</v>
      </c>
      <c r="U390" s="20">
        <f t="shared" si="582"/>
        <v>0</v>
      </c>
      <c r="V390" s="20">
        <f t="shared" si="582"/>
        <v>0</v>
      </c>
      <c r="W390" s="20">
        <f t="shared" si="582"/>
        <v>0</v>
      </c>
      <c r="X390" s="20">
        <f t="shared" si="582"/>
        <v>0</v>
      </c>
      <c r="Y390" s="20">
        <f t="shared" si="582"/>
        <v>0</v>
      </c>
      <c r="Z390" s="20">
        <f t="shared" si="582"/>
        <v>0</v>
      </c>
      <c r="AA390" s="20">
        <f t="shared" si="582"/>
        <v>0</v>
      </c>
      <c r="AB390" s="20">
        <f t="shared" si="582"/>
        <v>0</v>
      </c>
      <c r="AC390" s="20">
        <f t="shared" si="582"/>
        <v>0</v>
      </c>
      <c r="AD390" s="20" t="e">
        <f t="shared" si="582"/>
        <v>#REF!</v>
      </c>
      <c r="AE390" s="92"/>
      <c r="AF390" s="92"/>
    </row>
    <row r="391" spans="1:42" ht="15.75" customHeight="1">
      <c r="A391" s="16"/>
      <c r="B391" s="13" t="s">
        <v>30</v>
      </c>
      <c r="C391" s="16"/>
      <c r="D391" s="16"/>
      <c r="E391" s="16"/>
      <c r="F391" s="17">
        <f>F226+F239+F230+F233+F236</f>
        <v>74735.120999999999</v>
      </c>
      <c r="G391" s="17">
        <f t="shared" ref="G391:AC391" si="583">G226+G239+G230+G233+G236</f>
        <v>37892.356999999996</v>
      </c>
      <c r="H391" s="17">
        <f t="shared" si="583"/>
        <v>39010.930999999997</v>
      </c>
      <c r="I391" s="17">
        <f t="shared" si="583"/>
        <v>27277.477999999999</v>
      </c>
      <c r="J391" s="17">
        <f t="shared" si="583"/>
        <v>1118.5740000000001</v>
      </c>
      <c r="K391" s="17">
        <f t="shared" si="583"/>
        <v>3084.5</v>
      </c>
      <c r="L391" s="17">
        <f t="shared" si="583"/>
        <v>3462.9939999999997</v>
      </c>
      <c r="M391" s="17">
        <f t="shared" si="583"/>
        <v>3214.0390000000002</v>
      </c>
      <c r="N391" s="17">
        <f t="shared" si="583"/>
        <v>4594.2049999999999</v>
      </c>
      <c r="O391" s="17">
        <f t="shared" si="583"/>
        <v>12921.74</v>
      </c>
      <c r="P391" s="17">
        <f t="shared" si="583"/>
        <v>5967.2070000000003</v>
      </c>
      <c r="Q391" s="17">
        <f t="shared" si="583"/>
        <v>2479.5050000000001</v>
      </c>
      <c r="R391" s="17">
        <f t="shared" si="583"/>
        <v>0</v>
      </c>
      <c r="S391" s="17">
        <f t="shared" si="583"/>
        <v>0</v>
      </c>
      <c r="T391" s="17">
        <f t="shared" si="583"/>
        <v>0</v>
      </c>
      <c r="U391" s="17">
        <f t="shared" si="583"/>
        <v>0</v>
      </c>
      <c r="V391" s="17">
        <f t="shared" si="583"/>
        <v>0</v>
      </c>
      <c r="W391" s="17">
        <f t="shared" si="583"/>
        <v>0</v>
      </c>
      <c r="X391" s="17">
        <f t="shared" si="583"/>
        <v>0</v>
      </c>
      <c r="Y391" s="17">
        <f t="shared" si="583"/>
        <v>0</v>
      </c>
      <c r="Z391" s="17">
        <f t="shared" si="583"/>
        <v>0</v>
      </c>
      <c r="AA391" s="17">
        <f t="shared" si="583"/>
        <v>0</v>
      </c>
      <c r="AB391" s="17">
        <f t="shared" si="583"/>
        <v>0</v>
      </c>
      <c r="AC391" s="17">
        <f t="shared" si="583"/>
        <v>0</v>
      </c>
      <c r="AD391" s="17" t="e">
        <f>AD226+AD239+#REF!+AD230+AD233</f>
        <v>#REF!</v>
      </c>
      <c r="AE391" s="91"/>
      <c r="AF391" s="91"/>
    </row>
    <row r="392" spans="1:42" ht="15.75" customHeight="1">
      <c r="A392" s="16"/>
      <c r="B392" s="13" t="s">
        <v>38</v>
      </c>
      <c r="C392" s="16"/>
      <c r="D392" s="16"/>
      <c r="E392" s="16"/>
      <c r="F392" s="17">
        <f>F231+F234+F237+F227</f>
        <v>11531.700999999999</v>
      </c>
      <c r="G392" s="17">
        <f t="shared" ref="G392:AC392" si="584">G231+G234+G237+G227</f>
        <v>0</v>
      </c>
      <c r="H392" s="17">
        <f t="shared" si="584"/>
        <v>0</v>
      </c>
      <c r="I392" s="17">
        <f t="shared" si="584"/>
        <v>11530.121999999999</v>
      </c>
      <c r="J392" s="17">
        <f t="shared" si="584"/>
        <v>0</v>
      </c>
      <c r="K392" s="17">
        <f t="shared" si="584"/>
        <v>0</v>
      </c>
      <c r="L392" s="17">
        <f t="shared" si="584"/>
        <v>0</v>
      </c>
      <c r="M392" s="17">
        <f t="shared" si="584"/>
        <v>0</v>
      </c>
      <c r="N392" s="17">
        <f t="shared" si="584"/>
        <v>5458.0619999999999</v>
      </c>
      <c r="O392" s="17">
        <f t="shared" si="584"/>
        <v>6072.0599999999995</v>
      </c>
      <c r="P392" s="17">
        <f t="shared" si="584"/>
        <v>1.579</v>
      </c>
      <c r="Q392" s="17">
        <f t="shared" si="584"/>
        <v>0</v>
      </c>
      <c r="R392" s="17">
        <f t="shared" si="584"/>
        <v>0</v>
      </c>
      <c r="S392" s="17">
        <f t="shared" si="584"/>
        <v>0</v>
      </c>
      <c r="T392" s="17">
        <f t="shared" si="584"/>
        <v>0</v>
      </c>
      <c r="U392" s="17">
        <f t="shared" si="584"/>
        <v>0</v>
      </c>
      <c r="V392" s="17">
        <f t="shared" si="584"/>
        <v>0</v>
      </c>
      <c r="W392" s="17">
        <f t="shared" si="584"/>
        <v>0</v>
      </c>
      <c r="X392" s="17">
        <f t="shared" si="584"/>
        <v>0</v>
      </c>
      <c r="Y392" s="17">
        <f t="shared" si="584"/>
        <v>0</v>
      </c>
      <c r="Z392" s="17">
        <f t="shared" si="584"/>
        <v>0</v>
      </c>
      <c r="AA392" s="17">
        <f t="shared" si="584"/>
        <v>0</v>
      </c>
      <c r="AB392" s="17">
        <f t="shared" si="584"/>
        <v>0</v>
      </c>
      <c r="AC392" s="17">
        <f t="shared" si="584"/>
        <v>0</v>
      </c>
      <c r="AD392" s="17">
        <v>0</v>
      </c>
      <c r="AE392" s="91"/>
      <c r="AF392" s="91"/>
    </row>
    <row r="393" spans="1:42" ht="15.75" customHeight="1">
      <c r="A393" s="16"/>
      <c r="B393" s="13" t="s">
        <v>70</v>
      </c>
      <c r="C393" s="16"/>
      <c r="D393" s="16"/>
      <c r="E393" s="16"/>
      <c r="F393" s="17">
        <f>F228</f>
        <v>5050.22</v>
      </c>
      <c r="G393" s="17">
        <f t="shared" ref="G393:AD393" si="585">G228</f>
        <v>5050.22</v>
      </c>
      <c r="H393" s="17">
        <f t="shared" si="585"/>
        <v>5050.22</v>
      </c>
      <c r="I393" s="17">
        <f t="shared" si="585"/>
        <v>0</v>
      </c>
      <c r="J393" s="17">
        <f t="shared" si="585"/>
        <v>0</v>
      </c>
      <c r="K393" s="17">
        <f t="shared" si="585"/>
        <v>0</v>
      </c>
      <c r="L393" s="17">
        <f t="shared" si="585"/>
        <v>0</v>
      </c>
      <c r="M393" s="17">
        <f t="shared" si="585"/>
        <v>0</v>
      </c>
      <c r="N393" s="17">
        <f t="shared" si="585"/>
        <v>0</v>
      </c>
      <c r="O393" s="17">
        <f t="shared" si="585"/>
        <v>0</v>
      </c>
      <c r="P393" s="17">
        <f t="shared" si="585"/>
        <v>0</v>
      </c>
      <c r="Q393" s="17">
        <f t="shared" si="585"/>
        <v>0</v>
      </c>
      <c r="R393" s="17">
        <f t="shared" si="585"/>
        <v>0</v>
      </c>
      <c r="S393" s="17">
        <f t="shared" si="585"/>
        <v>0</v>
      </c>
      <c r="T393" s="17">
        <f t="shared" si="585"/>
        <v>0</v>
      </c>
      <c r="U393" s="17">
        <f t="shared" si="585"/>
        <v>0</v>
      </c>
      <c r="V393" s="17">
        <f t="shared" si="585"/>
        <v>0</v>
      </c>
      <c r="W393" s="17">
        <f t="shared" si="585"/>
        <v>0</v>
      </c>
      <c r="X393" s="17">
        <f t="shared" si="585"/>
        <v>0</v>
      </c>
      <c r="Y393" s="17">
        <f t="shared" si="585"/>
        <v>0</v>
      </c>
      <c r="Z393" s="17">
        <f t="shared" si="585"/>
        <v>0</v>
      </c>
      <c r="AA393" s="17">
        <f t="shared" si="585"/>
        <v>0</v>
      </c>
      <c r="AB393" s="17">
        <f t="shared" si="585"/>
        <v>0</v>
      </c>
      <c r="AC393" s="17">
        <f t="shared" si="585"/>
        <v>0</v>
      </c>
      <c r="AD393" s="17">
        <f t="shared" si="585"/>
        <v>0</v>
      </c>
      <c r="AE393" s="91"/>
      <c r="AF393" s="91"/>
    </row>
    <row r="394" spans="1:42" ht="15.75" customHeight="1">
      <c r="A394" s="16"/>
      <c r="B394" s="13" t="s">
        <v>108</v>
      </c>
      <c r="C394" s="16"/>
      <c r="D394" s="16"/>
      <c r="E394" s="16"/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0</v>
      </c>
      <c r="W394" s="17">
        <v>0</v>
      </c>
      <c r="X394" s="17">
        <v>0</v>
      </c>
      <c r="Y394" s="17">
        <v>0</v>
      </c>
      <c r="Z394" s="17">
        <v>0</v>
      </c>
      <c r="AA394" s="17">
        <v>0</v>
      </c>
      <c r="AB394" s="17">
        <v>0</v>
      </c>
      <c r="AC394" s="17">
        <v>0</v>
      </c>
      <c r="AD394" s="17">
        <v>0</v>
      </c>
      <c r="AE394" s="91"/>
      <c r="AF394" s="91"/>
    </row>
    <row r="395" spans="1:42" ht="15.75" customHeight="1">
      <c r="A395" s="16"/>
      <c r="B395" s="13" t="s">
        <v>35</v>
      </c>
      <c r="C395" s="16"/>
      <c r="D395" s="16"/>
      <c r="E395" s="16"/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7">
        <v>0</v>
      </c>
      <c r="AE395" s="91"/>
      <c r="AF395" s="91"/>
    </row>
    <row r="396" spans="1:42" ht="15.75" customHeight="1">
      <c r="A396" s="21"/>
      <c r="B396" s="22" t="s">
        <v>229</v>
      </c>
      <c r="C396" s="21"/>
      <c r="D396" s="21"/>
      <c r="E396" s="21"/>
      <c r="F396" s="23">
        <f>F397</f>
        <v>74108.933000000005</v>
      </c>
      <c r="G396" s="23">
        <f t="shared" ref="G396:AD396" si="586">G397</f>
        <v>28364.203000000001</v>
      </c>
      <c r="H396" s="23">
        <f t="shared" si="586"/>
        <v>30139.203000000001</v>
      </c>
      <c r="I396" s="23">
        <f t="shared" si="586"/>
        <v>18939.73</v>
      </c>
      <c r="J396" s="23">
        <f t="shared" si="586"/>
        <v>1775</v>
      </c>
      <c r="K396" s="23">
        <f t="shared" si="586"/>
        <v>4098</v>
      </c>
      <c r="L396" s="23">
        <f t="shared" si="586"/>
        <v>4000</v>
      </c>
      <c r="M396" s="23">
        <f t="shared" si="586"/>
        <v>4616.49</v>
      </c>
      <c r="N396" s="23">
        <f t="shared" si="586"/>
        <v>389.61</v>
      </c>
      <c r="O396" s="23">
        <f t="shared" si="586"/>
        <v>5835.63</v>
      </c>
      <c r="P396" s="23">
        <f t="shared" si="586"/>
        <v>13340</v>
      </c>
      <c r="Q396" s="23">
        <f t="shared" si="586"/>
        <v>6990</v>
      </c>
      <c r="R396" s="23">
        <f t="shared" si="586"/>
        <v>4700</v>
      </c>
      <c r="S396" s="23">
        <f t="shared" si="586"/>
        <v>4700</v>
      </c>
      <c r="T396" s="23">
        <f t="shared" si="586"/>
        <v>0</v>
      </c>
      <c r="U396" s="23">
        <f t="shared" si="586"/>
        <v>0</v>
      </c>
      <c r="V396" s="23">
        <f t="shared" si="586"/>
        <v>0</v>
      </c>
      <c r="W396" s="23">
        <f t="shared" si="586"/>
        <v>0</v>
      </c>
      <c r="X396" s="23">
        <f t="shared" si="586"/>
        <v>0</v>
      </c>
      <c r="Y396" s="23">
        <f t="shared" si="586"/>
        <v>0</v>
      </c>
      <c r="Z396" s="23">
        <f t="shared" si="586"/>
        <v>0</v>
      </c>
      <c r="AA396" s="23">
        <f t="shared" si="586"/>
        <v>0</v>
      </c>
      <c r="AB396" s="23">
        <f t="shared" si="586"/>
        <v>0</v>
      </c>
      <c r="AC396" s="23">
        <f t="shared" si="586"/>
        <v>0</v>
      </c>
      <c r="AD396" s="23">
        <f t="shared" si="586"/>
        <v>25030</v>
      </c>
      <c r="AE396" s="92"/>
      <c r="AF396" s="140"/>
      <c r="AG396" s="142"/>
      <c r="AH396" s="124"/>
      <c r="AI396" s="143"/>
      <c r="AJ396" s="124"/>
      <c r="AK396" s="124"/>
      <c r="AL396" s="124"/>
      <c r="AM396" s="124"/>
      <c r="AN396" s="124"/>
      <c r="AO396" s="124"/>
      <c r="AP396" s="124"/>
    </row>
    <row r="397" spans="1:42" ht="15.75" customHeight="1">
      <c r="A397" s="16"/>
      <c r="B397" s="13" t="s">
        <v>30</v>
      </c>
      <c r="C397" s="16"/>
      <c r="D397" s="16"/>
      <c r="E397" s="16"/>
      <c r="F397" s="17">
        <f>F242</f>
        <v>74108.933000000005</v>
      </c>
      <c r="G397" s="17">
        <f t="shared" ref="G397:AD397" si="587">G242</f>
        <v>28364.203000000001</v>
      </c>
      <c r="H397" s="17">
        <f t="shared" si="587"/>
        <v>30139.203000000001</v>
      </c>
      <c r="I397" s="17">
        <f t="shared" si="587"/>
        <v>18939.73</v>
      </c>
      <c r="J397" s="17">
        <f t="shared" si="587"/>
        <v>1775</v>
      </c>
      <c r="K397" s="17">
        <f t="shared" si="587"/>
        <v>4098</v>
      </c>
      <c r="L397" s="17">
        <f t="shared" si="587"/>
        <v>4000</v>
      </c>
      <c r="M397" s="17">
        <f>M242</f>
        <v>4616.49</v>
      </c>
      <c r="N397" s="17">
        <f t="shared" si="587"/>
        <v>389.61</v>
      </c>
      <c r="O397" s="17">
        <f t="shared" si="587"/>
        <v>5835.63</v>
      </c>
      <c r="P397" s="17">
        <f t="shared" si="587"/>
        <v>13340</v>
      </c>
      <c r="Q397" s="17">
        <f t="shared" si="587"/>
        <v>6990</v>
      </c>
      <c r="R397" s="17">
        <f t="shared" si="587"/>
        <v>4700</v>
      </c>
      <c r="S397" s="17">
        <f t="shared" si="587"/>
        <v>4700</v>
      </c>
      <c r="T397" s="17">
        <f t="shared" si="587"/>
        <v>0</v>
      </c>
      <c r="U397" s="17">
        <f t="shared" si="587"/>
        <v>0</v>
      </c>
      <c r="V397" s="17">
        <f t="shared" si="587"/>
        <v>0</v>
      </c>
      <c r="W397" s="17">
        <f t="shared" si="587"/>
        <v>0</v>
      </c>
      <c r="X397" s="17">
        <f t="shared" si="587"/>
        <v>0</v>
      </c>
      <c r="Y397" s="17">
        <f t="shared" si="587"/>
        <v>0</v>
      </c>
      <c r="Z397" s="17">
        <f t="shared" si="587"/>
        <v>0</v>
      </c>
      <c r="AA397" s="17">
        <f t="shared" si="587"/>
        <v>0</v>
      </c>
      <c r="AB397" s="17">
        <f t="shared" si="587"/>
        <v>0</v>
      </c>
      <c r="AC397" s="17">
        <f t="shared" si="587"/>
        <v>0</v>
      </c>
      <c r="AD397" s="17">
        <f t="shared" si="587"/>
        <v>25030</v>
      </c>
      <c r="AE397" s="91"/>
      <c r="AF397" s="124"/>
      <c r="AG397" s="142"/>
      <c r="AH397" s="124"/>
      <c r="AI397" s="124"/>
      <c r="AJ397" s="124"/>
      <c r="AK397" s="127"/>
      <c r="AL397" s="127"/>
      <c r="AM397" s="127"/>
      <c r="AN397" s="127"/>
      <c r="AO397" s="127"/>
      <c r="AP397" s="127"/>
    </row>
    <row r="398" spans="1:42" ht="15.75" customHeight="1">
      <c r="A398" s="18"/>
      <c r="B398" s="19" t="s">
        <v>230</v>
      </c>
      <c r="C398" s="18"/>
      <c r="D398" s="18"/>
      <c r="E398" s="18"/>
      <c r="F398" s="20">
        <f>F399+F400+F401+F402+F403</f>
        <v>12399.892</v>
      </c>
      <c r="G398" s="20">
        <f t="shared" ref="G398:AD398" si="588">G399+G400+G401+G402+G403</f>
        <v>0</v>
      </c>
      <c r="H398" s="20">
        <f t="shared" si="588"/>
        <v>0</v>
      </c>
      <c r="I398" s="20">
        <f t="shared" si="588"/>
        <v>12399.892</v>
      </c>
      <c r="J398" s="20">
        <f t="shared" si="588"/>
        <v>0</v>
      </c>
      <c r="K398" s="20">
        <f t="shared" si="588"/>
        <v>0</v>
      </c>
      <c r="L398" s="20">
        <f t="shared" si="588"/>
        <v>0</v>
      </c>
      <c r="M398" s="20">
        <f t="shared" si="588"/>
        <v>168.47600000000006</v>
      </c>
      <c r="N398" s="20">
        <f t="shared" si="588"/>
        <v>3823.808</v>
      </c>
      <c r="O398" s="20">
        <f t="shared" si="588"/>
        <v>8407.6080000000002</v>
      </c>
      <c r="P398" s="20">
        <f t="shared" si="588"/>
        <v>0</v>
      </c>
      <c r="Q398" s="20">
        <f t="shared" si="588"/>
        <v>0</v>
      </c>
      <c r="R398" s="20">
        <f t="shared" si="588"/>
        <v>0</v>
      </c>
      <c r="S398" s="20">
        <f t="shared" si="588"/>
        <v>0</v>
      </c>
      <c r="T398" s="20">
        <f t="shared" si="588"/>
        <v>0</v>
      </c>
      <c r="U398" s="20">
        <f t="shared" si="588"/>
        <v>0</v>
      </c>
      <c r="V398" s="20">
        <f t="shared" si="588"/>
        <v>0</v>
      </c>
      <c r="W398" s="20">
        <f t="shared" si="588"/>
        <v>0</v>
      </c>
      <c r="X398" s="20">
        <f t="shared" si="588"/>
        <v>0</v>
      </c>
      <c r="Y398" s="20">
        <f t="shared" si="588"/>
        <v>0</v>
      </c>
      <c r="Z398" s="20">
        <f t="shared" si="588"/>
        <v>0</v>
      </c>
      <c r="AA398" s="20">
        <f t="shared" si="588"/>
        <v>0</v>
      </c>
      <c r="AB398" s="20">
        <f t="shared" si="588"/>
        <v>0</v>
      </c>
      <c r="AC398" s="20">
        <f t="shared" si="588"/>
        <v>0</v>
      </c>
      <c r="AD398" s="20" t="e">
        <f t="shared" si="588"/>
        <v>#REF!</v>
      </c>
      <c r="AE398" s="92"/>
      <c r="AF398" s="140"/>
      <c r="AG398" s="142"/>
      <c r="AH398" s="127"/>
      <c r="AI398" s="126"/>
      <c r="AJ398" s="141"/>
      <c r="AK398" s="141"/>
      <c r="AL398" s="141"/>
      <c r="AM398" s="141"/>
      <c r="AN398" s="141"/>
      <c r="AO398" s="141"/>
      <c r="AP398" s="141"/>
    </row>
    <row r="399" spans="1:42" ht="15.75" customHeight="1">
      <c r="A399" s="16"/>
      <c r="B399" s="13" t="s">
        <v>30</v>
      </c>
      <c r="C399" s="16"/>
      <c r="D399" s="16"/>
      <c r="E399" s="16"/>
      <c r="F399" s="17">
        <f>F247+F250+F256+F245+F253</f>
        <v>8160.5370000000003</v>
      </c>
      <c r="G399" s="17">
        <f t="shared" ref="G399:AC399" si="589">G247+G250+G256+G245+G253</f>
        <v>0</v>
      </c>
      <c r="H399" s="17">
        <f t="shared" si="589"/>
        <v>0</v>
      </c>
      <c r="I399" s="17">
        <f t="shared" si="589"/>
        <v>8160.5370000000003</v>
      </c>
      <c r="J399" s="17">
        <f t="shared" si="589"/>
        <v>0</v>
      </c>
      <c r="K399" s="17">
        <f t="shared" si="589"/>
        <v>0</v>
      </c>
      <c r="L399" s="17">
        <f t="shared" si="589"/>
        <v>0</v>
      </c>
      <c r="M399" s="17">
        <f t="shared" si="589"/>
        <v>153.601</v>
      </c>
      <c r="N399" s="17">
        <f t="shared" si="589"/>
        <v>2047.09</v>
      </c>
      <c r="O399" s="17">
        <f t="shared" si="589"/>
        <v>5959.8460000000005</v>
      </c>
      <c r="P399" s="17">
        <f t="shared" si="589"/>
        <v>0</v>
      </c>
      <c r="Q399" s="17">
        <f t="shared" si="589"/>
        <v>0</v>
      </c>
      <c r="R399" s="17">
        <f t="shared" si="589"/>
        <v>0</v>
      </c>
      <c r="S399" s="17">
        <f t="shared" si="589"/>
        <v>0</v>
      </c>
      <c r="T399" s="17">
        <f t="shared" si="589"/>
        <v>0</v>
      </c>
      <c r="U399" s="17">
        <f t="shared" si="589"/>
        <v>0</v>
      </c>
      <c r="V399" s="17">
        <f t="shared" si="589"/>
        <v>0</v>
      </c>
      <c r="W399" s="17">
        <f t="shared" si="589"/>
        <v>0</v>
      </c>
      <c r="X399" s="17">
        <f t="shared" si="589"/>
        <v>0</v>
      </c>
      <c r="Y399" s="17">
        <f t="shared" si="589"/>
        <v>0</v>
      </c>
      <c r="Z399" s="17">
        <f t="shared" si="589"/>
        <v>0</v>
      </c>
      <c r="AA399" s="17">
        <f t="shared" si="589"/>
        <v>0</v>
      </c>
      <c r="AB399" s="17">
        <f t="shared" si="589"/>
        <v>0</v>
      </c>
      <c r="AC399" s="17">
        <f t="shared" si="589"/>
        <v>0</v>
      </c>
      <c r="AD399" s="17" t="e">
        <f>#REF!+AD247+#REF!+AD250+AD256+AD245</f>
        <v>#REF!</v>
      </c>
      <c r="AE399" s="91"/>
      <c r="AF399" s="124"/>
      <c r="AG399" s="142"/>
      <c r="AH399" s="129"/>
      <c r="AI399" s="126"/>
      <c r="AJ399" s="144"/>
      <c r="AK399" s="144"/>
      <c r="AL399" s="144"/>
      <c r="AM399" s="144"/>
      <c r="AN399" s="144"/>
      <c r="AO399" s="144"/>
      <c r="AP399" s="144"/>
    </row>
    <row r="400" spans="1:42" ht="15.75" customHeight="1">
      <c r="A400" s="16"/>
      <c r="B400" s="13" t="s">
        <v>38</v>
      </c>
      <c r="C400" s="16"/>
      <c r="D400" s="16"/>
      <c r="E400" s="16"/>
      <c r="F400" s="17">
        <f>F248+F251+F257+F254</f>
        <v>4239.3549999999996</v>
      </c>
      <c r="G400" s="17">
        <f t="shared" ref="G400:AC400" si="590">G248+G251+G257+G254</f>
        <v>0</v>
      </c>
      <c r="H400" s="17">
        <f t="shared" si="590"/>
        <v>0</v>
      </c>
      <c r="I400" s="17">
        <f t="shared" si="590"/>
        <v>4239.3549999999996</v>
      </c>
      <c r="J400" s="17">
        <f t="shared" si="590"/>
        <v>0</v>
      </c>
      <c r="K400" s="17">
        <f t="shared" si="590"/>
        <v>0</v>
      </c>
      <c r="L400" s="17">
        <f t="shared" si="590"/>
        <v>0</v>
      </c>
      <c r="M400" s="17">
        <f t="shared" si="590"/>
        <v>14.875000000000057</v>
      </c>
      <c r="N400" s="17">
        <f t="shared" si="590"/>
        <v>1776.7179999999998</v>
      </c>
      <c r="O400" s="17">
        <f t="shared" si="590"/>
        <v>2447.7620000000002</v>
      </c>
      <c r="P400" s="17">
        <f t="shared" si="590"/>
        <v>0</v>
      </c>
      <c r="Q400" s="17">
        <f t="shared" si="590"/>
        <v>0</v>
      </c>
      <c r="R400" s="17">
        <f t="shared" si="590"/>
        <v>0</v>
      </c>
      <c r="S400" s="17">
        <f t="shared" si="590"/>
        <v>0</v>
      </c>
      <c r="T400" s="17">
        <f t="shared" si="590"/>
        <v>0</v>
      </c>
      <c r="U400" s="17">
        <f t="shared" si="590"/>
        <v>0</v>
      </c>
      <c r="V400" s="17">
        <f t="shared" si="590"/>
        <v>0</v>
      </c>
      <c r="W400" s="17">
        <f t="shared" si="590"/>
        <v>0</v>
      </c>
      <c r="X400" s="17">
        <f t="shared" si="590"/>
        <v>0</v>
      </c>
      <c r="Y400" s="17">
        <f t="shared" si="590"/>
        <v>0</v>
      </c>
      <c r="Z400" s="17">
        <f t="shared" si="590"/>
        <v>0</v>
      </c>
      <c r="AA400" s="17">
        <f t="shared" si="590"/>
        <v>0</v>
      </c>
      <c r="AB400" s="17">
        <f t="shared" si="590"/>
        <v>0</v>
      </c>
      <c r="AC400" s="17">
        <f t="shared" si="590"/>
        <v>0</v>
      </c>
      <c r="AD400" s="17" t="e">
        <f>AD248+#REF!+AD251+AD257</f>
        <v>#REF!</v>
      </c>
      <c r="AE400" s="91"/>
      <c r="AF400" s="124"/>
      <c r="AG400" s="142"/>
      <c r="AH400" s="126"/>
      <c r="AI400" s="126"/>
      <c r="AJ400" s="126"/>
      <c r="AK400" s="141"/>
      <c r="AL400" s="141"/>
      <c r="AM400" s="141"/>
      <c r="AN400" s="141"/>
      <c r="AO400" s="141"/>
      <c r="AP400" s="141"/>
    </row>
    <row r="401" spans="1:42" ht="15.75" customHeight="1">
      <c r="A401" s="16"/>
      <c r="B401" s="13" t="s">
        <v>70</v>
      </c>
      <c r="C401" s="16"/>
      <c r="D401" s="16"/>
      <c r="E401" s="16"/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>
        <v>0</v>
      </c>
      <c r="AE401" s="91"/>
      <c r="AF401" s="124"/>
      <c r="AG401" s="142"/>
      <c r="AH401" s="126"/>
      <c r="AI401" s="126"/>
      <c r="AJ401" s="141"/>
      <c r="AK401" s="141"/>
      <c r="AL401" s="141"/>
      <c r="AM401" s="141"/>
      <c r="AN401" s="141"/>
      <c r="AO401" s="141"/>
      <c r="AP401" s="141"/>
    </row>
    <row r="402" spans="1:42" ht="15.75" customHeight="1">
      <c r="A402" s="16"/>
      <c r="B402" s="13" t="s">
        <v>108</v>
      </c>
      <c r="C402" s="16"/>
      <c r="D402" s="16"/>
      <c r="E402" s="16"/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>
        <v>0</v>
      </c>
      <c r="AE402" s="91"/>
      <c r="AF402" s="124"/>
      <c r="AG402" s="142"/>
      <c r="AH402" s="126"/>
      <c r="AI402" s="126"/>
      <c r="AJ402" s="141"/>
      <c r="AK402" s="141"/>
      <c r="AL402" s="141"/>
      <c r="AM402" s="141"/>
      <c r="AN402" s="141"/>
      <c r="AO402" s="141"/>
      <c r="AP402" s="141"/>
    </row>
    <row r="403" spans="1:42" ht="15.75" customHeight="1">
      <c r="A403" s="16"/>
      <c r="B403" s="13" t="s">
        <v>35</v>
      </c>
      <c r="C403" s="16"/>
      <c r="D403" s="16"/>
      <c r="E403" s="16"/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>
        <v>0</v>
      </c>
      <c r="AE403" s="91"/>
      <c r="AF403" s="124"/>
      <c r="AG403" s="142"/>
      <c r="AH403" s="129"/>
      <c r="AI403" s="126"/>
      <c r="AJ403" s="144"/>
      <c r="AK403" s="144"/>
      <c r="AL403" s="144"/>
      <c r="AM403" s="144"/>
      <c r="AN403" s="144"/>
      <c r="AO403" s="144"/>
      <c r="AP403" s="144"/>
    </row>
    <row r="404" spans="1:42" ht="15.75" customHeight="1">
      <c r="A404" s="18"/>
      <c r="B404" s="19" t="s">
        <v>231</v>
      </c>
      <c r="C404" s="18"/>
      <c r="D404" s="18"/>
      <c r="E404" s="18"/>
      <c r="F404" s="20">
        <f>F405+F406+F407+F408+F409</f>
        <v>310196.64299999998</v>
      </c>
      <c r="G404" s="20">
        <f t="shared" ref="G404:AD404" si="591">G405+G406+G407+G408+G409</f>
        <v>87226.454999999987</v>
      </c>
      <c r="H404" s="20">
        <f t="shared" si="591"/>
        <v>95308.147999999986</v>
      </c>
      <c r="I404" s="20">
        <f t="shared" si="591"/>
        <v>189939.255</v>
      </c>
      <c r="J404" s="20">
        <f t="shared" si="591"/>
        <v>8081.6930000000002</v>
      </c>
      <c r="K404" s="20">
        <f t="shared" si="591"/>
        <v>27049.118000000002</v>
      </c>
      <c r="L404" s="20">
        <f t="shared" si="591"/>
        <v>24987.917000000001</v>
      </c>
      <c r="M404" s="20">
        <f t="shared" si="591"/>
        <v>32333.511000000002</v>
      </c>
      <c r="N404" s="20">
        <f t="shared" si="591"/>
        <v>36230.01</v>
      </c>
      <c r="O404" s="20">
        <f t="shared" si="591"/>
        <v>69338.699000000008</v>
      </c>
      <c r="P404" s="20">
        <f t="shared" si="591"/>
        <v>6579.4400000000005</v>
      </c>
      <c r="Q404" s="20">
        <f t="shared" si="591"/>
        <v>8369.7999999999993</v>
      </c>
      <c r="R404" s="20">
        <f t="shared" si="591"/>
        <v>10000</v>
      </c>
      <c r="S404" s="20">
        <f t="shared" si="591"/>
        <v>5000</v>
      </c>
      <c r="T404" s="20">
        <f t="shared" si="591"/>
        <v>5000</v>
      </c>
      <c r="U404" s="20">
        <f t="shared" si="591"/>
        <v>0</v>
      </c>
      <c r="V404" s="20">
        <f t="shared" si="591"/>
        <v>0</v>
      </c>
      <c r="W404" s="20">
        <f t="shared" si="591"/>
        <v>0</v>
      </c>
      <c r="X404" s="20">
        <f t="shared" si="591"/>
        <v>0</v>
      </c>
      <c r="Y404" s="20">
        <f t="shared" si="591"/>
        <v>0</v>
      </c>
      <c r="Z404" s="20">
        <f t="shared" si="591"/>
        <v>0</v>
      </c>
      <c r="AA404" s="20">
        <f t="shared" si="591"/>
        <v>0</v>
      </c>
      <c r="AB404" s="20">
        <f t="shared" si="591"/>
        <v>0</v>
      </c>
      <c r="AC404" s="20">
        <f t="shared" si="591"/>
        <v>0</v>
      </c>
      <c r="AD404" s="20" t="e">
        <f t="shared" si="591"/>
        <v>#REF!</v>
      </c>
      <c r="AE404" s="92"/>
      <c r="AF404" s="140"/>
      <c r="AG404" s="142"/>
      <c r="AH404" s="126"/>
      <c r="AI404" s="126"/>
      <c r="AJ404" s="141"/>
      <c r="AK404" s="141"/>
      <c r="AL404" s="141"/>
      <c r="AM404" s="141"/>
      <c r="AN404" s="141"/>
      <c r="AO404" s="141"/>
      <c r="AP404" s="141"/>
    </row>
    <row r="405" spans="1:42" ht="15.75" customHeight="1">
      <c r="A405" s="16"/>
      <c r="B405" s="13" t="s">
        <v>30</v>
      </c>
      <c r="C405" s="16"/>
      <c r="D405" s="16"/>
      <c r="E405" s="16"/>
      <c r="F405" s="17">
        <f t="shared" ref="F405:AC405" si="592">F260+F263+F266+F269+F272+F275+F278+F283+F285+F287+F290+F292+F281</f>
        <v>249411.19799999997</v>
      </c>
      <c r="G405" s="17">
        <f t="shared" si="592"/>
        <v>78906.454999999987</v>
      </c>
      <c r="H405" s="17">
        <f t="shared" si="592"/>
        <v>83455.196999999986</v>
      </c>
      <c r="I405" s="17">
        <f t="shared" si="592"/>
        <v>141006.761</v>
      </c>
      <c r="J405" s="17">
        <f t="shared" si="592"/>
        <v>4548.7420000000002</v>
      </c>
      <c r="K405" s="17">
        <f t="shared" si="592"/>
        <v>17878.086000000003</v>
      </c>
      <c r="L405" s="17">
        <f t="shared" si="592"/>
        <v>14437.14</v>
      </c>
      <c r="M405" s="17">
        <f t="shared" si="592"/>
        <v>20539.346000000001</v>
      </c>
      <c r="N405" s="17">
        <f t="shared" si="592"/>
        <v>28528.006000000001</v>
      </c>
      <c r="O405" s="17">
        <f t="shared" si="592"/>
        <v>59624.183000000005</v>
      </c>
      <c r="P405" s="17">
        <f t="shared" si="592"/>
        <v>6579.4400000000005</v>
      </c>
      <c r="Q405" s="17">
        <f t="shared" si="592"/>
        <v>8369.7999999999993</v>
      </c>
      <c r="R405" s="17">
        <f t="shared" si="592"/>
        <v>10000</v>
      </c>
      <c r="S405" s="17">
        <f t="shared" si="592"/>
        <v>5000</v>
      </c>
      <c r="T405" s="17">
        <f t="shared" si="592"/>
        <v>5000</v>
      </c>
      <c r="U405" s="17">
        <f t="shared" si="592"/>
        <v>0</v>
      </c>
      <c r="V405" s="17">
        <f t="shared" si="592"/>
        <v>0</v>
      </c>
      <c r="W405" s="17">
        <f t="shared" si="592"/>
        <v>0</v>
      </c>
      <c r="X405" s="17">
        <f t="shared" si="592"/>
        <v>0</v>
      </c>
      <c r="Y405" s="17">
        <f t="shared" si="592"/>
        <v>0</v>
      </c>
      <c r="Z405" s="17">
        <f t="shared" si="592"/>
        <v>0</v>
      </c>
      <c r="AA405" s="17">
        <f t="shared" si="592"/>
        <v>0</v>
      </c>
      <c r="AB405" s="17">
        <f t="shared" si="592"/>
        <v>0</v>
      </c>
      <c r="AC405" s="17">
        <f t="shared" si="592"/>
        <v>0</v>
      </c>
      <c r="AD405" s="17" t="e">
        <f>#REF!+AD260+#REF!+#REF!+AD263+AD266+AD269+AD272+AD275+AD278+AD283+AD285+#REF!+AD290+AD292+AD281</f>
        <v>#REF!</v>
      </c>
      <c r="AE405" s="91"/>
      <c r="AF405" s="124"/>
      <c r="AG405" s="142"/>
      <c r="AH405" s="126"/>
      <c r="AI405" s="126"/>
      <c r="AJ405" s="141"/>
      <c r="AK405" s="141"/>
      <c r="AL405" s="141"/>
      <c r="AM405" s="141"/>
      <c r="AN405" s="141"/>
      <c r="AO405" s="141"/>
      <c r="AP405" s="141"/>
    </row>
    <row r="406" spans="1:42" ht="15.75" customHeight="1">
      <c r="A406" s="16"/>
      <c r="B406" s="13" t="s">
        <v>38</v>
      </c>
      <c r="C406" s="16"/>
      <c r="D406" s="16"/>
      <c r="E406" s="16"/>
      <c r="F406" s="17">
        <f t="shared" ref="F406:AC406" si="593">F267+F270+F273+F288</f>
        <v>13217.744000000001</v>
      </c>
      <c r="G406" s="17">
        <f t="shared" si="593"/>
        <v>0</v>
      </c>
      <c r="H406" s="17">
        <f t="shared" si="593"/>
        <v>0</v>
      </c>
      <c r="I406" s="17">
        <f t="shared" si="593"/>
        <v>13217.744000000001</v>
      </c>
      <c r="J406" s="17">
        <f t="shared" si="593"/>
        <v>0</v>
      </c>
      <c r="K406" s="17">
        <f t="shared" si="593"/>
        <v>0</v>
      </c>
      <c r="L406" s="17">
        <f t="shared" si="593"/>
        <v>0</v>
      </c>
      <c r="M406" s="17">
        <f t="shared" si="593"/>
        <v>523.32500000000005</v>
      </c>
      <c r="N406" s="17">
        <f t="shared" si="593"/>
        <v>2979.9030000000002</v>
      </c>
      <c r="O406" s="17">
        <f t="shared" si="593"/>
        <v>9714.5159999999996</v>
      </c>
      <c r="P406" s="17">
        <f t="shared" si="593"/>
        <v>0</v>
      </c>
      <c r="Q406" s="17">
        <f t="shared" si="593"/>
        <v>0</v>
      </c>
      <c r="R406" s="17">
        <f t="shared" si="593"/>
        <v>0</v>
      </c>
      <c r="S406" s="17">
        <f t="shared" si="593"/>
        <v>0</v>
      </c>
      <c r="T406" s="17">
        <f t="shared" si="593"/>
        <v>0</v>
      </c>
      <c r="U406" s="17">
        <f t="shared" si="593"/>
        <v>0</v>
      </c>
      <c r="V406" s="17">
        <f t="shared" si="593"/>
        <v>0</v>
      </c>
      <c r="W406" s="17">
        <f t="shared" si="593"/>
        <v>0</v>
      </c>
      <c r="X406" s="17">
        <f t="shared" si="593"/>
        <v>0</v>
      </c>
      <c r="Y406" s="17">
        <f t="shared" si="593"/>
        <v>0</v>
      </c>
      <c r="Z406" s="17">
        <f t="shared" si="593"/>
        <v>0</v>
      </c>
      <c r="AA406" s="17">
        <f t="shared" si="593"/>
        <v>0</v>
      </c>
      <c r="AB406" s="17">
        <f t="shared" si="593"/>
        <v>0</v>
      </c>
      <c r="AC406" s="17">
        <f t="shared" si="593"/>
        <v>0</v>
      </c>
      <c r="AD406" s="17" t="e">
        <f>#REF!+#REF!+AD267+AD270+AD273+#REF!+AD288</f>
        <v>#REF!</v>
      </c>
      <c r="AE406" s="91"/>
      <c r="AF406" s="124"/>
      <c r="AG406" s="142"/>
      <c r="AH406" s="129"/>
      <c r="AI406" s="126"/>
      <c r="AJ406" s="144"/>
      <c r="AK406" s="144"/>
      <c r="AL406" s="144"/>
      <c r="AM406" s="144"/>
      <c r="AN406" s="144"/>
      <c r="AO406" s="144"/>
      <c r="AP406" s="144"/>
    </row>
    <row r="407" spans="1:42" ht="15.75" customHeight="1">
      <c r="A407" s="16"/>
      <c r="B407" s="13" t="s">
        <v>70</v>
      </c>
      <c r="C407" s="16"/>
      <c r="D407" s="16"/>
      <c r="E407" s="16"/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>
        <v>0</v>
      </c>
      <c r="AE407" s="91"/>
      <c r="AF407" s="124"/>
      <c r="AG407" s="142"/>
      <c r="AH407" s="126"/>
      <c r="AI407" s="126"/>
      <c r="AJ407" s="141"/>
      <c r="AK407" s="141"/>
      <c r="AL407" s="141"/>
      <c r="AM407" s="141"/>
      <c r="AN407" s="141"/>
      <c r="AO407" s="141"/>
      <c r="AP407" s="141"/>
    </row>
    <row r="408" spans="1:42" ht="15.75" customHeight="1">
      <c r="A408" s="16"/>
      <c r="B408" s="13" t="s">
        <v>108</v>
      </c>
      <c r="C408" s="16"/>
      <c r="D408" s="16"/>
      <c r="E408" s="16"/>
      <c r="F408" s="17">
        <f>F261+F264+F276+F279</f>
        <v>47567.701000000001</v>
      </c>
      <c r="G408" s="17">
        <f t="shared" ref="G408:AD408" si="594">G261+G264+G276+G279</f>
        <v>8320</v>
      </c>
      <c r="H408" s="17">
        <f t="shared" si="594"/>
        <v>11852.951000000001</v>
      </c>
      <c r="I408" s="17">
        <f t="shared" si="594"/>
        <v>35714.75</v>
      </c>
      <c r="J408" s="17">
        <f t="shared" si="594"/>
        <v>3532.951</v>
      </c>
      <c r="K408" s="17">
        <f t="shared" si="594"/>
        <v>9171.0319999999992</v>
      </c>
      <c r="L408" s="17">
        <f t="shared" si="594"/>
        <v>10550.777</v>
      </c>
      <c r="M408" s="17">
        <f t="shared" si="594"/>
        <v>11270.84</v>
      </c>
      <c r="N408" s="17">
        <f t="shared" si="594"/>
        <v>4722.1010000000006</v>
      </c>
      <c r="O408" s="17">
        <f t="shared" si="594"/>
        <v>0</v>
      </c>
      <c r="P408" s="17">
        <f t="shared" si="594"/>
        <v>0</v>
      </c>
      <c r="Q408" s="17">
        <f t="shared" si="594"/>
        <v>0</v>
      </c>
      <c r="R408" s="17">
        <f t="shared" si="594"/>
        <v>0</v>
      </c>
      <c r="S408" s="17">
        <f t="shared" si="594"/>
        <v>0</v>
      </c>
      <c r="T408" s="17">
        <f t="shared" si="594"/>
        <v>0</v>
      </c>
      <c r="U408" s="17">
        <f t="shared" si="594"/>
        <v>0</v>
      </c>
      <c r="V408" s="17">
        <f t="shared" si="594"/>
        <v>0</v>
      </c>
      <c r="W408" s="17">
        <f t="shared" si="594"/>
        <v>0</v>
      </c>
      <c r="X408" s="17">
        <f t="shared" si="594"/>
        <v>0</v>
      </c>
      <c r="Y408" s="17">
        <f t="shared" si="594"/>
        <v>0</v>
      </c>
      <c r="Z408" s="17">
        <f t="shared" si="594"/>
        <v>0</v>
      </c>
      <c r="AA408" s="17">
        <f t="shared" si="594"/>
        <v>0</v>
      </c>
      <c r="AB408" s="17">
        <f t="shared" si="594"/>
        <v>0</v>
      </c>
      <c r="AC408" s="17">
        <f t="shared" si="594"/>
        <v>0</v>
      </c>
      <c r="AD408" s="17">
        <f t="shared" si="594"/>
        <v>0</v>
      </c>
      <c r="AE408" s="91"/>
      <c r="AF408" s="124"/>
      <c r="AG408" s="142"/>
      <c r="AH408" s="131"/>
      <c r="AI408" s="126"/>
      <c r="AJ408" s="144"/>
      <c r="AK408" s="144"/>
      <c r="AL408" s="144"/>
      <c r="AM408" s="144"/>
      <c r="AN408" s="144"/>
      <c r="AO408" s="144"/>
      <c r="AP408" s="144"/>
    </row>
    <row r="409" spans="1:42" ht="15.75" customHeight="1">
      <c r="A409" s="16"/>
      <c r="B409" s="13" t="s">
        <v>35</v>
      </c>
      <c r="C409" s="16"/>
      <c r="D409" s="16"/>
      <c r="E409" s="16"/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0</v>
      </c>
      <c r="W409" s="17">
        <v>0</v>
      </c>
      <c r="X409" s="17">
        <v>0</v>
      </c>
      <c r="Y409" s="17">
        <v>0</v>
      </c>
      <c r="Z409" s="17">
        <v>0</v>
      </c>
      <c r="AA409" s="17">
        <v>0</v>
      </c>
      <c r="AB409" s="17">
        <v>0</v>
      </c>
      <c r="AC409" s="17">
        <v>0</v>
      </c>
      <c r="AD409" s="17" t="e">
        <f>#REF!+#REF!+#REF!</f>
        <v>#REF!</v>
      </c>
      <c r="AE409" s="91"/>
      <c r="AF409" s="124"/>
      <c r="AG409" s="142"/>
      <c r="AH409" s="126"/>
      <c r="AI409" s="126"/>
      <c r="AJ409" s="141"/>
      <c r="AK409" s="141"/>
      <c r="AL409" s="141"/>
      <c r="AM409" s="141"/>
      <c r="AN409" s="141"/>
      <c r="AO409" s="141"/>
      <c r="AP409" s="141"/>
    </row>
    <row r="410" spans="1:42" ht="15.75" customHeight="1">
      <c r="A410" s="18"/>
      <c r="B410" s="19" t="s">
        <v>232</v>
      </c>
      <c r="C410" s="18"/>
      <c r="D410" s="18"/>
      <c r="E410" s="18"/>
      <c r="F410" s="20">
        <f>F411+F412+F413+F414+F415</f>
        <v>566784.06499999994</v>
      </c>
      <c r="G410" s="20">
        <f t="shared" ref="G410:AD410" si="595">G411+G412+G413+G414+G415</f>
        <v>173939.71</v>
      </c>
      <c r="H410" s="20">
        <f t="shared" si="595"/>
        <v>346254.21899999998</v>
      </c>
      <c r="I410" s="20">
        <f t="shared" si="595"/>
        <v>198829.84599999993</v>
      </c>
      <c r="J410" s="20">
        <f t="shared" si="595"/>
        <v>172305.50899999999</v>
      </c>
      <c r="K410" s="20">
        <f t="shared" si="595"/>
        <v>143815.10500000001</v>
      </c>
      <c r="L410" s="20">
        <f t="shared" si="595"/>
        <v>5470.8860000000004</v>
      </c>
      <c r="M410" s="20">
        <f t="shared" si="595"/>
        <v>7765.1100000000006</v>
      </c>
      <c r="N410" s="20">
        <f t="shared" si="595"/>
        <v>23302.727000000003</v>
      </c>
      <c r="O410" s="20">
        <f t="shared" si="595"/>
        <v>18476.018</v>
      </c>
      <c r="P410" s="20">
        <f t="shared" si="595"/>
        <v>6300</v>
      </c>
      <c r="Q410" s="20">
        <f t="shared" si="595"/>
        <v>3200</v>
      </c>
      <c r="R410" s="20">
        <f t="shared" si="595"/>
        <v>12200</v>
      </c>
      <c r="S410" s="20">
        <f t="shared" si="595"/>
        <v>12200</v>
      </c>
      <c r="T410" s="20">
        <f t="shared" si="595"/>
        <v>0</v>
      </c>
      <c r="U410" s="20">
        <f t="shared" si="595"/>
        <v>0</v>
      </c>
      <c r="V410" s="20">
        <f t="shared" si="595"/>
        <v>0</v>
      </c>
      <c r="W410" s="20">
        <f t="shared" si="595"/>
        <v>0</v>
      </c>
      <c r="X410" s="20">
        <f t="shared" si="595"/>
        <v>0</v>
      </c>
      <c r="Y410" s="20">
        <f t="shared" si="595"/>
        <v>0</v>
      </c>
      <c r="Z410" s="20">
        <f t="shared" si="595"/>
        <v>0</v>
      </c>
      <c r="AA410" s="20">
        <f t="shared" si="595"/>
        <v>0</v>
      </c>
      <c r="AB410" s="20">
        <f t="shared" si="595"/>
        <v>0</v>
      </c>
      <c r="AC410" s="20">
        <f t="shared" si="595"/>
        <v>0</v>
      </c>
      <c r="AD410" s="20" t="e">
        <f t="shared" si="595"/>
        <v>#REF!</v>
      </c>
      <c r="AE410" s="92"/>
      <c r="AF410" s="140"/>
      <c r="AG410" s="142"/>
      <c r="AH410" s="126"/>
      <c r="AI410" s="126"/>
      <c r="AJ410" s="141"/>
      <c r="AK410" s="141"/>
      <c r="AL410" s="141"/>
      <c r="AM410" s="141"/>
      <c r="AN410" s="141"/>
      <c r="AO410" s="141"/>
      <c r="AP410" s="141"/>
    </row>
    <row r="411" spans="1:42" ht="15.75" customHeight="1">
      <c r="A411" s="16"/>
      <c r="B411" s="13" t="s">
        <v>30</v>
      </c>
      <c r="C411" s="16"/>
      <c r="D411" s="16"/>
      <c r="E411" s="16"/>
      <c r="F411" s="17">
        <f t="shared" ref="F411:AC411" si="596">F295+F298+F300+F302+F304+F306+F309+F312+F317+F315</f>
        <v>420140.63899999991</v>
      </c>
      <c r="G411" s="17">
        <f t="shared" si="596"/>
        <v>128552.79399999999</v>
      </c>
      <c r="H411" s="17">
        <f t="shared" si="596"/>
        <v>229974.38</v>
      </c>
      <c r="I411" s="17">
        <f t="shared" si="596"/>
        <v>168466.25899999993</v>
      </c>
      <c r="J411" s="17">
        <f t="shared" si="596"/>
        <v>101412.586</v>
      </c>
      <c r="K411" s="17">
        <f t="shared" si="596"/>
        <v>118116.41800000001</v>
      </c>
      <c r="L411" s="17">
        <f t="shared" si="596"/>
        <v>5470.8860000000004</v>
      </c>
      <c r="M411" s="17">
        <f t="shared" si="596"/>
        <v>7526.8830000000007</v>
      </c>
      <c r="N411" s="17">
        <f t="shared" si="596"/>
        <v>21415.732000000004</v>
      </c>
      <c r="O411" s="17">
        <f t="shared" si="596"/>
        <v>15936.34</v>
      </c>
      <c r="P411" s="17">
        <f t="shared" si="596"/>
        <v>6300</v>
      </c>
      <c r="Q411" s="17">
        <f t="shared" si="596"/>
        <v>3200</v>
      </c>
      <c r="R411" s="17">
        <f t="shared" si="596"/>
        <v>12200</v>
      </c>
      <c r="S411" s="17">
        <f t="shared" si="596"/>
        <v>12200</v>
      </c>
      <c r="T411" s="17">
        <f t="shared" si="596"/>
        <v>0</v>
      </c>
      <c r="U411" s="17">
        <f t="shared" si="596"/>
        <v>0</v>
      </c>
      <c r="V411" s="17">
        <f t="shared" si="596"/>
        <v>0</v>
      </c>
      <c r="W411" s="17">
        <f t="shared" si="596"/>
        <v>0</v>
      </c>
      <c r="X411" s="17">
        <f t="shared" si="596"/>
        <v>0</v>
      </c>
      <c r="Y411" s="17">
        <f t="shared" si="596"/>
        <v>0</v>
      </c>
      <c r="Z411" s="17">
        <f t="shared" si="596"/>
        <v>0</v>
      </c>
      <c r="AA411" s="17">
        <f t="shared" si="596"/>
        <v>0</v>
      </c>
      <c r="AB411" s="17">
        <f t="shared" si="596"/>
        <v>0</v>
      </c>
      <c r="AC411" s="17">
        <f t="shared" si="596"/>
        <v>0</v>
      </c>
      <c r="AD411" s="17" t="e">
        <f>AD295+#REF!+#REF!+#REF!+#REF!+#REF!+AD298+AD300+AD302+AD304+#REF!+AD306+AD309+AD312+#REF!+AD317</f>
        <v>#REF!</v>
      </c>
      <c r="AE411" s="91"/>
      <c r="AF411" s="124"/>
      <c r="AG411" s="142"/>
      <c r="AH411" s="126"/>
      <c r="AI411" s="126"/>
      <c r="AJ411" s="141"/>
      <c r="AK411" s="141"/>
      <c r="AL411" s="141"/>
      <c r="AM411" s="141"/>
      <c r="AN411" s="141"/>
      <c r="AO411" s="141"/>
      <c r="AP411" s="141"/>
    </row>
    <row r="412" spans="1:42" ht="15.75" customHeight="1">
      <c r="A412" s="16"/>
      <c r="B412" s="13" t="s">
        <v>38</v>
      </c>
      <c r="C412" s="16"/>
      <c r="D412" s="16"/>
      <c r="E412" s="16"/>
      <c r="F412" s="17">
        <f t="shared" ref="F412:AC412" si="597">F296+F307+F310+F313</f>
        <v>146643.42599999998</v>
      </c>
      <c r="G412" s="17">
        <f t="shared" si="597"/>
        <v>45386.915999999997</v>
      </c>
      <c r="H412" s="17">
        <f t="shared" si="597"/>
        <v>116279.83899999999</v>
      </c>
      <c r="I412" s="17">
        <f t="shared" si="597"/>
        <v>30363.587</v>
      </c>
      <c r="J412" s="17">
        <f t="shared" si="597"/>
        <v>70892.922999999995</v>
      </c>
      <c r="K412" s="17">
        <f t="shared" si="597"/>
        <v>25698.687000000002</v>
      </c>
      <c r="L412" s="17">
        <f t="shared" si="597"/>
        <v>0</v>
      </c>
      <c r="M412" s="17">
        <f t="shared" si="597"/>
        <v>238.227</v>
      </c>
      <c r="N412" s="17">
        <f t="shared" si="597"/>
        <v>1886.9949999999999</v>
      </c>
      <c r="O412" s="17">
        <f t="shared" si="597"/>
        <v>2539.6779999999999</v>
      </c>
      <c r="P412" s="17">
        <f t="shared" si="597"/>
        <v>0</v>
      </c>
      <c r="Q412" s="17">
        <f t="shared" si="597"/>
        <v>0</v>
      </c>
      <c r="R412" s="17">
        <f t="shared" si="597"/>
        <v>0</v>
      </c>
      <c r="S412" s="17">
        <f t="shared" si="597"/>
        <v>0</v>
      </c>
      <c r="T412" s="17">
        <f t="shared" si="597"/>
        <v>0</v>
      </c>
      <c r="U412" s="17">
        <f t="shared" si="597"/>
        <v>0</v>
      </c>
      <c r="V412" s="17">
        <f t="shared" si="597"/>
        <v>0</v>
      </c>
      <c r="W412" s="17">
        <f t="shared" si="597"/>
        <v>0</v>
      </c>
      <c r="X412" s="17">
        <f t="shared" si="597"/>
        <v>0</v>
      </c>
      <c r="Y412" s="17">
        <f t="shared" si="597"/>
        <v>0</v>
      </c>
      <c r="Z412" s="17">
        <f t="shared" si="597"/>
        <v>0</v>
      </c>
      <c r="AA412" s="17">
        <f t="shared" si="597"/>
        <v>0</v>
      </c>
      <c r="AB412" s="17">
        <f t="shared" si="597"/>
        <v>0</v>
      </c>
      <c r="AC412" s="17">
        <f t="shared" si="597"/>
        <v>0</v>
      </c>
      <c r="AD412" s="17" t="e">
        <f>AD296+#REF!+#REF!+AD307+AD310+AD313</f>
        <v>#REF!</v>
      </c>
      <c r="AE412" s="91"/>
      <c r="AF412" s="124"/>
      <c r="AG412" s="142"/>
      <c r="AH412" s="126"/>
      <c r="AI412" s="126"/>
      <c r="AJ412" s="141"/>
      <c r="AK412" s="141"/>
      <c r="AL412" s="141"/>
      <c r="AM412" s="141"/>
      <c r="AN412" s="141"/>
      <c r="AO412" s="141"/>
      <c r="AP412" s="141"/>
    </row>
    <row r="413" spans="1:42" ht="15.75" customHeight="1">
      <c r="A413" s="16"/>
      <c r="B413" s="13" t="s">
        <v>70</v>
      </c>
      <c r="C413" s="16"/>
      <c r="D413" s="16"/>
      <c r="E413" s="16"/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0</v>
      </c>
      <c r="W413" s="17">
        <v>0</v>
      </c>
      <c r="X413" s="17">
        <v>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91"/>
      <c r="AF413" s="124"/>
      <c r="AG413" s="142"/>
      <c r="AH413" s="131"/>
      <c r="AI413" s="126"/>
      <c r="AJ413" s="144"/>
      <c r="AK413" s="144"/>
      <c r="AL413" s="144"/>
      <c r="AM413" s="144"/>
      <c r="AN413" s="144"/>
      <c r="AO413" s="144"/>
      <c r="AP413" s="144"/>
    </row>
    <row r="414" spans="1:42" ht="15.75" customHeight="1">
      <c r="A414" s="16"/>
      <c r="B414" s="13" t="s">
        <v>108</v>
      </c>
      <c r="C414" s="16"/>
      <c r="D414" s="16"/>
      <c r="E414" s="16"/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91"/>
      <c r="AF414" s="124"/>
      <c r="AG414" s="142"/>
      <c r="AH414" s="126"/>
      <c r="AI414" s="126"/>
      <c r="AJ414" s="141"/>
      <c r="AK414" s="141"/>
      <c r="AL414" s="141"/>
      <c r="AM414" s="141"/>
      <c r="AN414" s="141"/>
      <c r="AO414" s="141"/>
      <c r="AP414" s="141"/>
    </row>
    <row r="415" spans="1:42" ht="15.75" customHeight="1">
      <c r="A415" s="16"/>
      <c r="B415" s="13" t="s">
        <v>35</v>
      </c>
      <c r="C415" s="16"/>
      <c r="D415" s="16"/>
      <c r="E415" s="16"/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0</v>
      </c>
      <c r="W415" s="17">
        <v>0</v>
      </c>
      <c r="X415" s="17">
        <v>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91"/>
      <c r="AF415" s="124"/>
      <c r="AG415" s="142"/>
      <c r="AH415" s="126"/>
      <c r="AI415" s="126"/>
      <c r="AJ415" s="141"/>
      <c r="AK415" s="141"/>
      <c r="AL415" s="141"/>
      <c r="AM415" s="141"/>
      <c r="AN415" s="141"/>
      <c r="AO415" s="141"/>
      <c r="AP415" s="141"/>
    </row>
    <row r="416" spans="1:42" ht="15.75" customHeight="1">
      <c r="A416" s="18"/>
      <c r="B416" s="19" t="s">
        <v>233</v>
      </c>
      <c r="C416" s="18"/>
      <c r="D416" s="18"/>
      <c r="E416" s="18"/>
      <c r="F416" s="20">
        <f>F417+F418+F419+F420+F421</f>
        <v>344977.57500000001</v>
      </c>
      <c r="G416" s="20">
        <f t="shared" ref="G416:AD416" si="598">G417+G418+G419+G420+G421</f>
        <v>51809.406999999999</v>
      </c>
      <c r="H416" s="20">
        <f t="shared" si="598"/>
        <v>54346.699000000001</v>
      </c>
      <c r="I416" s="20">
        <f t="shared" si="598"/>
        <v>252830.80699999994</v>
      </c>
      <c r="J416" s="20">
        <f t="shared" si="598"/>
        <v>2537.2919999999999</v>
      </c>
      <c r="K416" s="20">
        <f t="shared" si="598"/>
        <v>22905</v>
      </c>
      <c r="L416" s="20">
        <f t="shared" si="598"/>
        <v>58209.849000000002</v>
      </c>
      <c r="M416" s="20">
        <f t="shared" si="598"/>
        <v>30720.278999999999</v>
      </c>
      <c r="N416" s="20">
        <f t="shared" si="598"/>
        <v>109133.60300000002</v>
      </c>
      <c r="O416" s="20">
        <f t="shared" si="598"/>
        <v>31862.076000000001</v>
      </c>
      <c r="P416" s="20">
        <f t="shared" si="598"/>
        <v>13418.022999999997</v>
      </c>
      <c r="Q416" s="20">
        <f t="shared" si="598"/>
        <v>13591.022999999997</v>
      </c>
      <c r="R416" s="20">
        <f t="shared" si="598"/>
        <v>10791.022999999997</v>
      </c>
      <c r="S416" s="20">
        <f t="shared" si="598"/>
        <v>10791.022999999997</v>
      </c>
      <c r="T416" s="20">
        <f t="shared" si="598"/>
        <v>0</v>
      </c>
      <c r="U416" s="20">
        <f t="shared" si="598"/>
        <v>0</v>
      </c>
      <c r="V416" s="20">
        <f t="shared" si="598"/>
        <v>0</v>
      </c>
      <c r="W416" s="20">
        <f t="shared" si="598"/>
        <v>0</v>
      </c>
      <c r="X416" s="20">
        <f t="shared" si="598"/>
        <v>0</v>
      </c>
      <c r="Y416" s="20">
        <f t="shared" si="598"/>
        <v>0</v>
      </c>
      <c r="Z416" s="20">
        <f t="shared" si="598"/>
        <v>0</v>
      </c>
      <c r="AA416" s="20">
        <f t="shared" si="598"/>
        <v>0</v>
      </c>
      <c r="AB416" s="20">
        <f t="shared" si="598"/>
        <v>0</v>
      </c>
      <c r="AC416" s="20">
        <f t="shared" si="598"/>
        <v>0</v>
      </c>
      <c r="AD416" s="20" t="e">
        <f t="shared" si="598"/>
        <v>#REF!</v>
      </c>
      <c r="AE416" s="92"/>
      <c r="AF416" s="140"/>
      <c r="AG416" s="142"/>
      <c r="AH416" s="126"/>
      <c r="AI416" s="126"/>
      <c r="AJ416" s="141"/>
      <c r="AK416" s="141"/>
      <c r="AL416" s="141"/>
      <c r="AM416" s="141"/>
      <c r="AN416" s="141"/>
      <c r="AO416" s="141"/>
      <c r="AP416" s="141"/>
    </row>
    <row r="417" spans="1:47" ht="15.75" customHeight="1">
      <c r="A417" s="16"/>
      <c r="B417" s="13" t="s">
        <v>30</v>
      </c>
      <c r="C417" s="16"/>
      <c r="D417" s="16"/>
      <c r="E417" s="16"/>
      <c r="F417" s="17">
        <f>F320+F322+F325+F330+F335+F332+F328</f>
        <v>315614.984</v>
      </c>
      <c r="G417" s="17">
        <f t="shared" ref="G417:AC417" si="599">G320+G322+G325+G330+G335+G332+G328</f>
        <v>51809.406999999999</v>
      </c>
      <c r="H417" s="17">
        <f t="shared" si="599"/>
        <v>54346.699000000001</v>
      </c>
      <c r="I417" s="17">
        <f t="shared" si="599"/>
        <v>223468.21599999996</v>
      </c>
      <c r="J417" s="17">
        <f t="shared" si="599"/>
        <v>2537.2919999999999</v>
      </c>
      <c r="K417" s="17">
        <f t="shared" si="599"/>
        <v>15905</v>
      </c>
      <c r="L417" s="17">
        <f t="shared" si="599"/>
        <v>45040.126000000004</v>
      </c>
      <c r="M417" s="17">
        <f t="shared" si="599"/>
        <v>26070.278999999999</v>
      </c>
      <c r="N417" s="17">
        <f t="shared" si="599"/>
        <v>108588.40500000001</v>
      </c>
      <c r="O417" s="17">
        <f t="shared" si="599"/>
        <v>27864.406000000003</v>
      </c>
      <c r="P417" s="17">
        <f t="shared" si="599"/>
        <v>13418.022999999997</v>
      </c>
      <c r="Q417" s="17">
        <f t="shared" si="599"/>
        <v>13591.022999999997</v>
      </c>
      <c r="R417" s="17">
        <f t="shared" si="599"/>
        <v>10791.022999999997</v>
      </c>
      <c r="S417" s="17">
        <f t="shared" si="599"/>
        <v>10791.022999999997</v>
      </c>
      <c r="T417" s="17">
        <f t="shared" si="599"/>
        <v>0</v>
      </c>
      <c r="U417" s="17">
        <f t="shared" si="599"/>
        <v>0</v>
      </c>
      <c r="V417" s="17">
        <f t="shared" si="599"/>
        <v>0</v>
      </c>
      <c r="W417" s="17">
        <f t="shared" si="599"/>
        <v>0</v>
      </c>
      <c r="X417" s="17">
        <f t="shared" si="599"/>
        <v>0</v>
      </c>
      <c r="Y417" s="17">
        <f t="shared" si="599"/>
        <v>0</v>
      </c>
      <c r="Z417" s="17">
        <f t="shared" si="599"/>
        <v>0</v>
      </c>
      <c r="AA417" s="17">
        <f t="shared" si="599"/>
        <v>0</v>
      </c>
      <c r="AB417" s="17">
        <f t="shared" si="599"/>
        <v>0</v>
      </c>
      <c r="AC417" s="17">
        <f t="shared" si="599"/>
        <v>0</v>
      </c>
      <c r="AD417" s="17" t="e">
        <f>AD320+AD322+#REF!+AD325+AD330+AD335+AD332+AD328</f>
        <v>#REF!</v>
      </c>
      <c r="AE417" s="91"/>
      <c r="AF417" s="124"/>
      <c r="AG417" s="142"/>
      <c r="AH417" s="145"/>
      <c r="AI417" s="126"/>
      <c r="AJ417" s="141"/>
      <c r="AK417" s="146"/>
      <c r="AL417" s="146"/>
      <c r="AM417" s="146"/>
      <c r="AN417" s="146"/>
      <c r="AO417" s="146"/>
      <c r="AP417" s="146"/>
    </row>
    <row r="418" spans="1:47" ht="15.75" customHeight="1">
      <c r="A418" s="16"/>
      <c r="B418" s="13" t="s">
        <v>38</v>
      </c>
      <c r="C418" s="16"/>
      <c r="D418" s="16"/>
      <c r="E418" s="16"/>
      <c r="F418" s="17">
        <f>F337+F333</f>
        <v>4542.8680000000004</v>
      </c>
      <c r="G418" s="17">
        <f t="shared" ref="G418:AD418" si="600">G337+G333</f>
        <v>0</v>
      </c>
      <c r="H418" s="17">
        <f t="shared" si="600"/>
        <v>0</v>
      </c>
      <c r="I418" s="17">
        <f t="shared" si="600"/>
        <v>4542.8680000000004</v>
      </c>
      <c r="J418" s="17">
        <f t="shared" si="600"/>
        <v>0</v>
      </c>
      <c r="K418" s="17">
        <f t="shared" si="600"/>
        <v>0</v>
      </c>
      <c r="L418" s="17">
        <f t="shared" si="600"/>
        <v>0</v>
      </c>
      <c r="M418" s="17">
        <f t="shared" si="600"/>
        <v>0</v>
      </c>
      <c r="N418" s="17">
        <f t="shared" si="600"/>
        <v>545.19799999999998</v>
      </c>
      <c r="O418" s="17">
        <f t="shared" si="600"/>
        <v>3997.67</v>
      </c>
      <c r="P418" s="17">
        <f t="shared" si="600"/>
        <v>0</v>
      </c>
      <c r="Q418" s="17">
        <f t="shared" si="600"/>
        <v>0</v>
      </c>
      <c r="R418" s="17">
        <f t="shared" si="600"/>
        <v>0</v>
      </c>
      <c r="S418" s="17">
        <f t="shared" si="600"/>
        <v>0</v>
      </c>
      <c r="T418" s="17">
        <f t="shared" si="600"/>
        <v>0</v>
      </c>
      <c r="U418" s="17">
        <f t="shared" si="600"/>
        <v>0</v>
      </c>
      <c r="V418" s="17">
        <f t="shared" si="600"/>
        <v>0</v>
      </c>
      <c r="W418" s="17">
        <f t="shared" si="600"/>
        <v>0</v>
      </c>
      <c r="X418" s="17">
        <f t="shared" si="600"/>
        <v>0</v>
      </c>
      <c r="Y418" s="17">
        <f t="shared" si="600"/>
        <v>0</v>
      </c>
      <c r="Z418" s="17">
        <f t="shared" si="600"/>
        <v>0</v>
      </c>
      <c r="AA418" s="17">
        <f t="shared" si="600"/>
        <v>0</v>
      </c>
      <c r="AB418" s="17">
        <f t="shared" si="600"/>
        <v>0</v>
      </c>
      <c r="AC418" s="17">
        <f t="shared" si="600"/>
        <v>0</v>
      </c>
      <c r="AD418" s="17">
        <f t="shared" si="600"/>
        <v>0</v>
      </c>
      <c r="AE418" s="91"/>
      <c r="AF418" s="124"/>
      <c r="AG418" s="142"/>
      <c r="AH418" s="126"/>
      <c r="AI418" s="126"/>
      <c r="AJ418" s="141"/>
      <c r="AK418" s="141"/>
      <c r="AL418" s="141"/>
      <c r="AM418" s="141"/>
      <c r="AN418" s="141"/>
      <c r="AO418" s="141"/>
      <c r="AP418" s="141"/>
    </row>
    <row r="419" spans="1:47" ht="15.75" customHeight="1">
      <c r="A419" s="16"/>
      <c r="B419" s="13" t="s">
        <v>70</v>
      </c>
      <c r="C419" s="16"/>
      <c r="D419" s="16"/>
      <c r="E419" s="16"/>
      <c r="F419" s="17">
        <f>F323+F326</f>
        <v>24741</v>
      </c>
      <c r="G419" s="17">
        <f t="shared" ref="G419:AD419" si="601">G323+G326</f>
        <v>0</v>
      </c>
      <c r="H419" s="17">
        <f t="shared" si="601"/>
        <v>0</v>
      </c>
      <c r="I419" s="17">
        <f t="shared" si="601"/>
        <v>24741</v>
      </c>
      <c r="J419" s="17">
        <f t="shared" si="601"/>
        <v>0</v>
      </c>
      <c r="K419" s="17">
        <f t="shared" si="601"/>
        <v>7000</v>
      </c>
      <c r="L419" s="17">
        <f t="shared" si="601"/>
        <v>13091</v>
      </c>
      <c r="M419" s="17">
        <f t="shared" si="601"/>
        <v>4650</v>
      </c>
      <c r="N419" s="17">
        <f t="shared" si="601"/>
        <v>0</v>
      </c>
      <c r="O419" s="17">
        <f t="shared" si="601"/>
        <v>0</v>
      </c>
      <c r="P419" s="17">
        <f t="shared" si="601"/>
        <v>0</v>
      </c>
      <c r="Q419" s="17">
        <f t="shared" si="601"/>
        <v>0</v>
      </c>
      <c r="R419" s="17">
        <f t="shared" si="601"/>
        <v>0</v>
      </c>
      <c r="S419" s="17">
        <f t="shared" si="601"/>
        <v>0</v>
      </c>
      <c r="T419" s="17">
        <f t="shared" si="601"/>
        <v>0</v>
      </c>
      <c r="U419" s="17">
        <f t="shared" si="601"/>
        <v>0</v>
      </c>
      <c r="V419" s="17">
        <f t="shared" si="601"/>
        <v>0</v>
      </c>
      <c r="W419" s="17">
        <f t="shared" si="601"/>
        <v>0</v>
      </c>
      <c r="X419" s="17">
        <f t="shared" si="601"/>
        <v>0</v>
      </c>
      <c r="Y419" s="17">
        <f t="shared" si="601"/>
        <v>0</v>
      </c>
      <c r="Z419" s="17">
        <f t="shared" si="601"/>
        <v>0</v>
      </c>
      <c r="AA419" s="17">
        <f t="shared" si="601"/>
        <v>0</v>
      </c>
      <c r="AB419" s="17">
        <f t="shared" si="601"/>
        <v>0</v>
      </c>
      <c r="AC419" s="17">
        <f t="shared" si="601"/>
        <v>0</v>
      </c>
      <c r="AD419" s="17">
        <f t="shared" si="601"/>
        <v>0</v>
      </c>
      <c r="AE419" s="91"/>
      <c r="AF419" s="124"/>
      <c r="AG419" s="124"/>
      <c r="AH419" s="124"/>
      <c r="AI419" s="124"/>
      <c r="AJ419" s="124"/>
      <c r="AK419" s="124"/>
      <c r="AL419" s="124"/>
      <c r="AM419" s="124"/>
      <c r="AN419" s="141"/>
      <c r="AO419" s="141"/>
      <c r="AP419" s="141"/>
    </row>
    <row r="420" spans="1:47" ht="15.75" customHeight="1">
      <c r="A420" s="16"/>
      <c r="B420" s="13" t="s">
        <v>234</v>
      </c>
      <c r="C420" s="16"/>
      <c r="D420" s="16"/>
      <c r="E420" s="16"/>
      <c r="F420" s="17">
        <f>F336</f>
        <v>78.722999999999999</v>
      </c>
      <c r="G420" s="17">
        <f t="shared" ref="G420:AD420" si="602">G336</f>
        <v>0</v>
      </c>
      <c r="H420" s="17">
        <f t="shared" si="602"/>
        <v>0</v>
      </c>
      <c r="I420" s="17">
        <f t="shared" si="602"/>
        <v>78.722999999999999</v>
      </c>
      <c r="J420" s="17">
        <f t="shared" si="602"/>
        <v>0</v>
      </c>
      <c r="K420" s="17">
        <f t="shared" si="602"/>
        <v>0</v>
      </c>
      <c r="L420" s="17">
        <f t="shared" si="602"/>
        <v>78.722999999999999</v>
      </c>
      <c r="M420" s="17">
        <f t="shared" si="602"/>
        <v>0</v>
      </c>
      <c r="N420" s="17">
        <f t="shared" si="602"/>
        <v>0</v>
      </c>
      <c r="O420" s="17">
        <f t="shared" si="602"/>
        <v>0</v>
      </c>
      <c r="P420" s="17">
        <f t="shared" si="602"/>
        <v>0</v>
      </c>
      <c r="Q420" s="17">
        <f t="shared" si="602"/>
        <v>0</v>
      </c>
      <c r="R420" s="17">
        <f t="shared" si="602"/>
        <v>0</v>
      </c>
      <c r="S420" s="17">
        <f t="shared" si="602"/>
        <v>0</v>
      </c>
      <c r="T420" s="17">
        <f t="shared" si="602"/>
        <v>0</v>
      </c>
      <c r="U420" s="17">
        <f t="shared" si="602"/>
        <v>0</v>
      </c>
      <c r="V420" s="17">
        <f t="shared" si="602"/>
        <v>0</v>
      </c>
      <c r="W420" s="17">
        <f t="shared" si="602"/>
        <v>0</v>
      </c>
      <c r="X420" s="17">
        <f t="shared" si="602"/>
        <v>0</v>
      </c>
      <c r="Y420" s="17">
        <f t="shared" si="602"/>
        <v>0</v>
      </c>
      <c r="Z420" s="17">
        <f t="shared" si="602"/>
        <v>0</v>
      </c>
      <c r="AA420" s="17">
        <f t="shared" si="602"/>
        <v>0</v>
      </c>
      <c r="AB420" s="17">
        <f t="shared" si="602"/>
        <v>0</v>
      </c>
      <c r="AC420" s="17">
        <f t="shared" si="602"/>
        <v>0</v>
      </c>
      <c r="AD420" s="17">
        <f t="shared" si="602"/>
        <v>0</v>
      </c>
      <c r="AF420" s="124"/>
      <c r="AG420" s="124"/>
      <c r="AH420" s="124"/>
      <c r="AI420" s="124"/>
      <c r="AJ420" s="124"/>
      <c r="AK420" s="124"/>
      <c r="AL420" s="124"/>
      <c r="AM420" s="124"/>
      <c r="AN420" s="124"/>
      <c r="AO420" s="124"/>
      <c r="AP420" s="124"/>
    </row>
    <row r="421" spans="1:47" ht="15.75" customHeight="1">
      <c r="A421" s="16"/>
      <c r="B421" s="13" t="s">
        <v>35</v>
      </c>
      <c r="C421" s="16"/>
      <c r="D421" s="16"/>
      <c r="E421" s="16"/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7">
        <v>0</v>
      </c>
      <c r="N421" s="17">
        <v>0</v>
      </c>
      <c r="O421" s="17">
        <v>0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0</v>
      </c>
      <c r="W421" s="17">
        <v>0</v>
      </c>
      <c r="X421" s="17">
        <v>0</v>
      </c>
      <c r="Y421" s="17">
        <v>0</v>
      </c>
      <c r="Z421" s="17">
        <v>0</v>
      </c>
      <c r="AA421" s="17">
        <v>0</v>
      </c>
      <c r="AB421" s="17">
        <v>0</v>
      </c>
      <c r="AC421" s="17">
        <v>0</v>
      </c>
      <c r="AD421" s="17">
        <v>0</v>
      </c>
      <c r="AF421" s="124"/>
      <c r="AG421" s="126"/>
      <c r="AH421" s="126"/>
      <c r="AI421" s="127"/>
      <c r="AJ421" s="126"/>
      <c r="AK421" s="126"/>
      <c r="AL421" s="126"/>
      <c r="AM421" s="126"/>
      <c r="AN421" s="124"/>
      <c r="AO421" s="126"/>
      <c r="AP421" s="127"/>
      <c r="AQ421" s="126"/>
      <c r="AR421" s="126"/>
      <c r="AS421" s="126"/>
      <c r="AT421" s="126"/>
      <c r="AU421" s="124"/>
    </row>
    <row r="422" spans="1:47" ht="14.25">
      <c r="AF422" s="124"/>
      <c r="AG422" s="127"/>
      <c r="AH422" s="126"/>
      <c r="AI422" s="126"/>
      <c r="AJ422" s="127"/>
      <c r="AK422" s="127"/>
      <c r="AL422" s="127"/>
      <c r="AM422" s="127"/>
      <c r="AN422" s="126"/>
      <c r="AO422" s="126"/>
      <c r="AP422" s="127"/>
      <c r="AQ422" s="127"/>
      <c r="AR422" s="127"/>
      <c r="AS422" s="127"/>
      <c r="AT422" s="127"/>
    </row>
    <row r="423" spans="1:47" ht="14.25">
      <c r="AF423" s="124"/>
      <c r="AG423" s="128"/>
      <c r="AH423" s="126"/>
      <c r="AI423" s="126"/>
      <c r="AJ423" s="128"/>
      <c r="AK423" s="128"/>
      <c r="AL423" s="128"/>
      <c r="AM423" s="128"/>
      <c r="AN423" s="126"/>
      <c r="AO423" s="126"/>
      <c r="AP423" s="128"/>
      <c r="AQ423" s="128"/>
      <c r="AR423" s="128"/>
      <c r="AS423" s="128"/>
      <c r="AT423" s="128"/>
    </row>
    <row r="424" spans="1:47" ht="14.25">
      <c r="AF424" s="124"/>
      <c r="AG424" s="130"/>
      <c r="AH424" s="129"/>
      <c r="AI424" s="126"/>
      <c r="AJ424" s="130"/>
      <c r="AK424" s="130"/>
      <c r="AL424" s="130"/>
      <c r="AM424" s="130"/>
      <c r="AN424" s="129"/>
      <c r="AO424" s="126"/>
      <c r="AP424" s="130"/>
      <c r="AQ424" s="130"/>
      <c r="AR424" s="130"/>
      <c r="AS424" s="130"/>
      <c r="AT424" s="130"/>
    </row>
    <row r="425" spans="1:47" ht="14.25">
      <c r="AF425" s="124"/>
      <c r="AG425" s="128"/>
      <c r="AH425" s="126"/>
      <c r="AI425" s="126"/>
      <c r="AJ425" s="128"/>
      <c r="AK425" s="128"/>
      <c r="AL425" s="128"/>
      <c r="AM425" s="128"/>
      <c r="AN425" s="126"/>
      <c r="AO425" s="126"/>
      <c r="AP425" s="128"/>
      <c r="AQ425" s="128"/>
      <c r="AR425" s="128"/>
      <c r="AS425" s="128"/>
      <c r="AT425" s="128"/>
    </row>
    <row r="426" spans="1:47" ht="14.25">
      <c r="AF426" s="124"/>
      <c r="AG426" s="128"/>
      <c r="AH426" s="126"/>
      <c r="AI426" s="126"/>
      <c r="AJ426" s="128"/>
      <c r="AK426" s="128"/>
      <c r="AL426" s="128"/>
      <c r="AM426" s="128"/>
      <c r="AN426" s="126"/>
      <c r="AO426" s="126"/>
      <c r="AP426" s="128"/>
      <c r="AQ426" s="128"/>
      <c r="AR426" s="128"/>
      <c r="AS426" s="128"/>
      <c r="AT426" s="128"/>
    </row>
    <row r="427" spans="1:47" ht="14.25">
      <c r="AF427" s="124"/>
      <c r="AG427" s="130"/>
      <c r="AH427" s="129"/>
      <c r="AI427" s="126"/>
      <c r="AJ427" s="130"/>
      <c r="AK427" s="130"/>
      <c r="AL427" s="130"/>
      <c r="AM427" s="130"/>
      <c r="AN427" s="129"/>
      <c r="AO427" s="126"/>
      <c r="AP427" s="130"/>
      <c r="AQ427" s="130"/>
      <c r="AR427" s="130"/>
      <c r="AS427" s="130"/>
      <c r="AT427" s="130"/>
    </row>
    <row r="428" spans="1:47" ht="14.25">
      <c r="AF428" s="124"/>
      <c r="AG428" s="128"/>
      <c r="AH428" s="126"/>
      <c r="AI428" s="126"/>
      <c r="AJ428" s="128"/>
      <c r="AK428" s="128"/>
      <c r="AL428" s="128"/>
      <c r="AM428" s="128"/>
      <c r="AN428" s="126"/>
      <c r="AO428" s="126"/>
      <c r="AP428" s="128"/>
      <c r="AQ428" s="128"/>
      <c r="AR428" s="128"/>
      <c r="AS428" s="128"/>
      <c r="AT428" s="128"/>
    </row>
    <row r="429" spans="1:47" ht="14.25">
      <c r="AF429" s="124"/>
      <c r="AG429" s="128"/>
      <c r="AH429" s="126"/>
      <c r="AI429" s="126"/>
      <c r="AJ429" s="128"/>
      <c r="AK429" s="128"/>
      <c r="AL429" s="128"/>
      <c r="AM429" s="128"/>
      <c r="AN429" s="126"/>
      <c r="AO429" s="126"/>
      <c r="AP429" s="128"/>
      <c r="AQ429" s="128"/>
      <c r="AR429" s="128"/>
      <c r="AS429" s="128"/>
      <c r="AT429" s="128"/>
    </row>
    <row r="430" spans="1:47" ht="14.25">
      <c r="AF430" s="124"/>
      <c r="AG430" s="128"/>
      <c r="AH430" s="126"/>
      <c r="AI430" s="126"/>
      <c r="AJ430" s="128"/>
      <c r="AK430" s="128"/>
      <c r="AL430" s="128"/>
      <c r="AM430" s="128"/>
      <c r="AN430" s="126"/>
      <c r="AO430" s="126"/>
      <c r="AP430" s="128"/>
      <c r="AQ430" s="128"/>
      <c r="AR430" s="128"/>
      <c r="AS430" s="128"/>
      <c r="AT430" s="128"/>
    </row>
    <row r="431" spans="1:47" ht="14.25">
      <c r="AF431" s="124"/>
      <c r="AG431" s="128"/>
      <c r="AH431" s="126"/>
      <c r="AI431" s="126"/>
      <c r="AJ431" s="128"/>
      <c r="AK431" s="128"/>
      <c r="AL431" s="128"/>
      <c r="AM431" s="128"/>
      <c r="AN431" s="126"/>
      <c r="AO431" s="126"/>
      <c r="AP431" s="128"/>
      <c r="AQ431" s="128"/>
      <c r="AR431" s="128"/>
      <c r="AS431" s="128"/>
      <c r="AT431" s="128"/>
    </row>
    <row r="432" spans="1:47" ht="14.25">
      <c r="AF432" s="124"/>
      <c r="AG432" s="128"/>
      <c r="AH432" s="126"/>
      <c r="AI432" s="126"/>
      <c r="AJ432" s="128"/>
      <c r="AK432" s="128"/>
      <c r="AL432" s="128"/>
      <c r="AM432" s="128"/>
      <c r="AN432" s="126"/>
      <c r="AO432" s="126"/>
      <c r="AP432" s="128"/>
      <c r="AQ432" s="128"/>
      <c r="AR432" s="128"/>
      <c r="AS432" s="128"/>
      <c r="AT432" s="128"/>
    </row>
    <row r="433" spans="32:46" ht="14.25">
      <c r="AF433" s="124"/>
      <c r="AG433" s="130"/>
      <c r="AH433" s="126"/>
      <c r="AI433" s="126"/>
      <c r="AJ433" s="130"/>
      <c r="AK433" s="130"/>
      <c r="AL433" s="130"/>
      <c r="AM433" s="130"/>
      <c r="AN433" s="126"/>
      <c r="AO433" s="126"/>
      <c r="AP433" s="130"/>
      <c r="AQ433" s="130"/>
      <c r="AR433" s="130"/>
      <c r="AS433" s="130"/>
      <c r="AT433" s="130"/>
    </row>
    <row r="434" spans="32:46" ht="14.25">
      <c r="AF434" s="124"/>
      <c r="AG434" s="128"/>
      <c r="AH434" s="126"/>
      <c r="AI434" s="126"/>
      <c r="AJ434" s="128"/>
      <c r="AK434" s="128"/>
      <c r="AL434" s="128"/>
      <c r="AM434" s="128"/>
      <c r="AN434" s="126"/>
      <c r="AO434" s="126"/>
      <c r="AP434" s="128"/>
      <c r="AQ434" s="128"/>
      <c r="AR434" s="128"/>
      <c r="AS434" s="128"/>
      <c r="AT434" s="128"/>
    </row>
    <row r="435" spans="32:46" ht="14.25">
      <c r="AF435" s="124"/>
      <c r="AG435" s="130"/>
      <c r="AH435" s="129"/>
      <c r="AI435" s="126"/>
      <c r="AJ435" s="130"/>
      <c r="AK435" s="130"/>
      <c r="AL435" s="130"/>
      <c r="AM435" s="130"/>
      <c r="AN435" s="129"/>
      <c r="AO435" s="126"/>
      <c r="AP435" s="130"/>
      <c r="AQ435" s="130"/>
      <c r="AR435" s="130"/>
      <c r="AS435" s="130"/>
      <c r="AT435" s="130"/>
    </row>
    <row r="436" spans="32:46" ht="14.25">
      <c r="AF436" s="124"/>
      <c r="AG436" s="128"/>
      <c r="AH436" s="126"/>
      <c r="AI436" s="126"/>
      <c r="AJ436" s="128"/>
      <c r="AK436" s="128"/>
      <c r="AL436" s="128"/>
      <c r="AM436" s="128"/>
      <c r="AN436" s="126"/>
      <c r="AO436" s="126"/>
      <c r="AP436" s="128"/>
      <c r="AQ436" s="128"/>
      <c r="AR436" s="128"/>
      <c r="AS436" s="128"/>
      <c r="AT436" s="128"/>
    </row>
    <row r="437" spans="32:46" ht="14.25">
      <c r="AF437" s="124"/>
      <c r="AG437" s="130"/>
      <c r="AH437" s="131"/>
      <c r="AI437" s="126"/>
      <c r="AJ437" s="130"/>
      <c r="AK437" s="130"/>
      <c r="AL437" s="130"/>
      <c r="AM437" s="130"/>
      <c r="AN437" s="131"/>
      <c r="AO437" s="126"/>
      <c r="AP437" s="130"/>
      <c r="AQ437" s="130"/>
      <c r="AR437" s="130"/>
      <c r="AS437" s="130"/>
      <c r="AT437" s="130"/>
    </row>
    <row r="438" spans="32:46" ht="14.25">
      <c r="AF438" s="124"/>
      <c r="AG438" s="128"/>
      <c r="AH438" s="126"/>
      <c r="AI438" s="126"/>
      <c r="AJ438" s="128"/>
      <c r="AK438" s="128"/>
      <c r="AL438" s="128"/>
      <c r="AM438" s="128"/>
      <c r="AN438" s="126"/>
      <c r="AO438" s="126"/>
      <c r="AP438" s="128"/>
      <c r="AQ438" s="128"/>
      <c r="AR438" s="128"/>
      <c r="AS438" s="128"/>
      <c r="AT438" s="128"/>
    </row>
    <row r="439" spans="32:46" ht="14.25">
      <c r="AF439" s="124"/>
      <c r="AG439" s="128"/>
      <c r="AH439" s="126"/>
      <c r="AI439" s="126"/>
      <c r="AJ439" s="128"/>
      <c r="AK439" s="128"/>
      <c r="AL439" s="128"/>
      <c r="AM439" s="128"/>
      <c r="AN439" s="126"/>
      <c r="AO439" s="126"/>
      <c r="AP439" s="128"/>
      <c r="AQ439" s="128"/>
      <c r="AR439" s="128"/>
      <c r="AS439" s="128"/>
      <c r="AT439" s="128"/>
    </row>
    <row r="440" spans="32:46" ht="14.25">
      <c r="AF440" s="124"/>
      <c r="AG440" s="125"/>
      <c r="AH440" s="131"/>
      <c r="AI440" s="126"/>
      <c r="AJ440" s="130"/>
      <c r="AK440" s="130"/>
      <c r="AL440" s="130"/>
      <c r="AM440" s="130"/>
      <c r="AN440" s="131"/>
      <c r="AO440" s="126"/>
      <c r="AP440" s="130"/>
      <c r="AQ440" s="130"/>
      <c r="AR440" s="130"/>
      <c r="AS440" s="130"/>
      <c r="AT440" s="130"/>
    </row>
    <row r="441" spans="32:46" ht="14.25">
      <c r="AF441" s="124"/>
      <c r="AG441" s="128"/>
      <c r="AH441" s="126"/>
      <c r="AI441" s="126"/>
      <c r="AJ441" s="128"/>
      <c r="AK441" s="128"/>
      <c r="AL441" s="128"/>
      <c r="AM441" s="128"/>
      <c r="AN441" s="126"/>
      <c r="AO441" s="126"/>
      <c r="AP441" s="128"/>
      <c r="AQ441" s="128"/>
      <c r="AR441" s="128"/>
      <c r="AS441" s="128"/>
      <c r="AT441" s="128"/>
    </row>
    <row r="442" spans="32:46" ht="14.25">
      <c r="AF442" s="124"/>
      <c r="AG442" s="128"/>
      <c r="AH442" s="126"/>
      <c r="AI442" s="126"/>
      <c r="AJ442" s="128"/>
      <c r="AK442" s="128"/>
      <c r="AL442" s="128"/>
      <c r="AM442" s="128"/>
      <c r="AN442" s="126"/>
      <c r="AO442" s="126"/>
      <c r="AP442" s="128"/>
      <c r="AQ442" s="128"/>
      <c r="AR442" s="128"/>
      <c r="AS442" s="128"/>
      <c r="AT442" s="128"/>
    </row>
    <row r="443" spans="32:46" ht="14.25">
      <c r="AF443" s="124"/>
      <c r="AG443" s="124"/>
      <c r="AH443" s="124"/>
      <c r="AI443" s="124"/>
      <c r="AJ443" s="124"/>
      <c r="AK443" s="124"/>
      <c r="AL443" s="124"/>
      <c r="AM443" s="124"/>
      <c r="AN443" s="124"/>
      <c r="AO443" s="124"/>
      <c r="AP443" s="124"/>
    </row>
    <row r="444" spans="32:46" ht="14.25">
      <c r="AF444" s="124"/>
      <c r="AG444" s="124"/>
      <c r="AH444" s="124"/>
      <c r="AI444" s="124"/>
      <c r="AJ444" s="124"/>
      <c r="AK444" s="124"/>
      <c r="AL444" s="124"/>
      <c r="AM444" s="124"/>
      <c r="AN444" s="124"/>
      <c r="AO444" s="124"/>
      <c r="AP444" s="124"/>
    </row>
    <row r="445" spans="32:46" ht="14.25">
      <c r="AF445" s="124"/>
      <c r="AG445" s="124"/>
      <c r="AH445" s="124"/>
      <c r="AI445" s="124"/>
      <c r="AJ445" s="124"/>
      <c r="AK445" s="124"/>
      <c r="AL445" s="124"/>
      <c r="AM445" s="124"/>
      <c r="AN445" s="124"/>
      <c r="AO445" s="124"/>
      <c r="AP445" s="124"/>
    </row>
    <row r="446" spans="32:46" ht="14.25"/>
    <row r="447" spans="32:46" ht="14.25"/>
    <row r="448" spans="32:46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</sheetData>
  <sheetProtection password="D0D5" sheet="1" objects="1" scenarios="1" formatCells="0" formatColumns="0" formatRows="0" insertColumns="0" insertRows="0" insertHyperlinks="0" deleteColumns="0" deleteRows="0"/>
  <customSheetViews>
    <customSheetView guid="{18AE6EAE-0F0A-4846-A69B-6F0A4ACCB07F}" showPageBreaks="1" printArea="1" filter="1" showAutoFilter="1" hiddenRows="1" hiddenColumns="1" view="pageBreakPreview">
      <pane xSplit="6" ySplit="39" topLeftCell="G41" activePane="bottomRight" state="frozen"/>
      <selection pane="bottomRight" activeCell="S338" sqref="S338"/>
      <pageMargins left="0.47244094488188981" right="0.23622047244094491" top="0.55118110236220474" bottom="0.31496062992125984" header="0.31496062992125984" footer="0.31496062992125984"/>
      <pageSetup paperSize="9" scale="76" fitToHeight="42" orientation="landscape" horizontalDpi="4294967293" verticalDpi="4294967293" r:id="rId1"/>
      <headerFooter>
        <oddHeader>&amp;R5 lipca 2018</oddHeader>
      </headerFooter>
      <autoFilter ref="A2:AF337">
        <filterColumn colId="0">
          <filters>
            <filter val="WBO"/>
          </filters>
        </filterColumn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  <filterColumn colId="25" showButton="0"/>
      </autoFilter>
    </customSheetView>
    <customSheetView guid="{124ECDE6-0416-4BD2-AB8F-772BED097B34}" showPageBreaks="1" printArea="1" filter="1" showAutoFilter="1" hiddenColumns="1" view="pageBreakPreview" topLeftCell="F1">
      <pane xSplit="13" ySplit="155" topLeftCell="T323" activePane="bottomRight" state="frozen"/>
      <selection pane="bottomRight" activeCell="H492" sqref="H492"/>
      <rowBreaks count="6" manualBreakCount="6">
        <brk id="84" max="32" man="1"/>
        <brk id="122" max="32" man="1"/>
        <brk id="164" max="32" man="1"/>
        <brk id="199" max="32" man="1"/>
        <brk id="326" max="32" man="1"/>
        <brk id="486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2"/>
      <headerFooter>
        <oddHeader>&amp;R5 lipca 2018</oddHeader>
      </headerFooter>
      <autoFilter ref="B4:IT488">
        <filterColumn colId="34">
          <filters>
            <filter val="IN"/>
          </filters>
        </filterColumn>
      </autoFilter>
    </customSheetView>
    <customSheetView guid="{45E6F39E-4ED4-4AA4-9904-F32A1BA25A49}" showPageBreaks="1" printArea="1" showAutoFilter="1" hiddenRows="1" hiddenColumns="1" view="pageBreakPreview">
      <pane xSplit="10" ySplit="5" topLeftCell="K171" activePane="bottomRight" state="frozen"/>
      <selection pane="bottomRight" activeCell="T187" sqref="T187"/>
      <rowBreaks count="7" manualBreakCount="7">
        <brk id="82" max="33" man="1"/>
        <brk id="109" max="33" man="1"/>
        <brk id="122" max="32" man="1"/>
        <brk id="164" max="32" man="1"/>
        <brk id="203" max="32" man="1"/>
        <brk id="331" max="32" man="1"/>
        <brk id="497" max="32" man="1"/>
      </rowBreaks>
      <pageMargins left="0.47244094488188981" right="0.23622047244094491" top="0.55118110236220474" bottom="0.31496062992125984" header="0.31496062992125984" footer="0.31496062992125984"/>
      <pageSetup paperSize="9" scale="76" fitToHeight="42" orientation="landscape" horizontalDpi="4294967293" verticalDpi="4294967293" r:id="rId3"/>
      <headerFooter>
        <oddHeader>&amp;R5 lipca 2018</oddHeader>
      </headerFooter>
      <autoFilter ref="A4:AI365"/>
    </customSheetView>
    <customSheetView guid="{1ED37DBC-040A-47EE-86B1-3B37ACF94D9D}" showPageBreaks="1" printArea="1" showAutoFilter="1" hiddenColumns="1" view="pageBreakPreview">
      <pane xSplit="6" ySplit="5" topLeftCell="G6" activePane="bottomRight" state="frozen"/>
      <selection pane="bottomRight" activeCell="J17" sqref="J17"/>
      <rowBreaks count="6" manualBreakCount="6">
        <brk id="84" max="32" man="1"/>
        <brk id="122" max="32" man="1"/>
        <brk id="164" max="32" man="1"/>
        <brk id="203" max="32" man="1"/>
        <brk id="332" max="32" man="1"/>
        <brk id="496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4"/>
      <headerFooter>
        <oddHeader>&amp;R5 lipca 2018</oddHeader>
      </headerFooter>
      <autoFilter ref="B4:IT498"/>
    </customSheetView>
    <customSheetView guid="{78CA28D9-2AE1-4ACE-90DA-3F97BC54FF6F}" showPageBreaks="1" printArea="1" filter="1" showAutoFilter="1" hiddenColumns="1" view="pageBreakPreview">
      <pane xSplit="17" ySplit="14" topLeftCell="S54" activePane="bottomRight" state="frozen"/>
      <selection pane="bottomRight" activeCell="V61" sqref="V61"/>
      <rowBreaks count="6" manualBreakCount="6">
        <brk id="84" max="32" man="1"/>
        <brk id="122" max="32" man="1"/>
        <brk id="164" max="32" man="1"/>
        <brk id="203" max="32" man="1"/>
        <brk id="331" max="32" man="1"/>
        <brk id="495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5"/>
      <headerFooter>
        <oddHeader>&amp;R5 lipca 2018</oddHeader>
      </headerFooter>
      <autoFilter ref="A4:IT365">
        <filterColumn colId="1">
          <filters blank="1">
            <filter val="."/>
            <filter val="pojedyncze"/>
          </filters>
        </filterColumn>
      </autoFilter>
    </customSheetView>
    <customSheetView guid="{F04D79BF-DD3E-4A5A-B954-46E249745B11}" showPageBreaks="1" printArea="1" showAutoFilter="1" hiddenColumns="1" view="pageBreakPreview">
      <pane xSplit="17" ySplit="15" topLeftCell="T19" activePane="bottomRight" state="frozen"/>
      <selection pane="bottomRight" activeCell="V11" sqref="V11"/>
      <rowBreaks count="6" manualBreakCount="6">
        <brk id="84" max="32" man="1"/>
        <brk id="122" max="32" man="1"/>
        <brk id="164" max="32" man="1"/>
        <brk id="203" max="32" man="1"/>
        <brk id="331" max="32" man="1"/>
        <brk id="495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6"/>
      <headerFooter>
        <oddHeader>&amp;R5 lipca 2018</oddHeader>
      </headerFooter>
      <autoFilter ref="A4:IT4"/>
    </customSheetView>
    <customSheetView guid="{BEAA7B2E-C361-4F67-8E31-BED3C841E2B7}" showPageBreaks="1" printArea="1" showAutoFilter="1" hiddenColumns="1" view="pageBreakPreview">
      <pane xSplit="6" ySplit="5" topLeftCell="G120" activePane="bottomRight" state="frozen"/>
      <selection pane="bottomRight" activeCell="E132" sqref="E132"/>
      <rowBreaks count="6" manualBreakCount="6">
        <brk id="84" max="32" man="1"/>
        <brk id="122" max="32" man="1"/>
        <brk id="164" max="32" man="1"/>
        <brk id="203" max="32" man="1"/>
        <brk id="332" max="32" man="1"/>
        <brk id="496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7"/>
      <headerFooter>
        <oddHeader>&amp;R5 lipca 2018</oddHeader>
      </headerFooter>
      <autoFilter ref="B4:IT498"/>
    </customSheetView>
    <customSheetView guid="{7E504180-F6EF-425C-BA88-31A7DF023E5D}" showPageBreaks="1" printArea="1" showAutoFilter="1" hiddenRows="1" hiddenColumns="1" view="pageBreakPreview">
      <pane xSplit="10" ySplit="5" topLeftCell="K171" activePane="bottomRight" state="frozen"/>
      <selection pane="bottomRight" activeCell="T187" sqref="T187"/>
      <rowBreaks count="7" manualBreakCount="7">
        <brk id="82" max="33" man="1"/>
        <brk id="109" max="33" man="1"/>
        <brk id="122" max="32" man="1"/>
        <brk id="164" max="32" man="1"/>
        <brk id="203" max="32" man="1"/>
        <brk id="331" max="32" man="1"/>
        <brk id="497" max="32" man="1"/>
      </rowBreaks>
      <pageMargins left="0.47244094488188981" right="0.23622047244094491" top="0.55118110236220474" bottom="0.31496062992125984" header="0.31496062992125984" footer="0.31496062992125984"/>
      <pageSetup paperSize="9" scale="76" fitToHeight="42" orientation="landscape" horizontalDpi="4294967293" verticalDpi="4294967293" r:id="rId8"/>
      <headerFooter>
        <oddHeader>&amp;R5 lipca 2018</oddHeader>
      </headerFooter>
      <autoFilter ref="A4:AI365"/>
    </customSheetView>
    <customSheetView guid="{ED211EBA-E518-4C0C-BCC8-BA697CDE1468}" showPageBreaks="1" printArea="1" showAutoFilter="1" hiddenColumns="1" view="pageBreakPreview">
      <pane xSplit="6" ySplit="5" topLeftCell="G6" activePane="bottomRight" state="frozen"/>
      <selection pane="bottomRight" activeCell="J17" sqref="J17"/>
      <rowBreaks count="6" manualBreakCount="6">
        <brk id="84" max="32" man="1"/>
        <brk id="122" max="32" man="1"/>
        <brk id="164" max="32" man="1"/>
        <brk id="203" max="32" man="1"/>
        <brk id="332" max="32" man="1"/>
        <brk id="496" max="32" man="1"/>
      </rowBreaks>
      <pageMargins left="0.47244094488188981" right="0.23622047244094491" top="0.55118110236220474" bottom="0.31496062992125984" header="0.31496062992125984" footer="0.31496062992125984"/>
      <pageSetup paperSize="9" scale="79" fitToHeight="42" orientation="landscape" horizontalDpi="4294967293" verticalDpi="4294967293" r:id="rId9"/>
      <headerFooter>
        <oddHeader>&amp;R5 lipca 2018</oddHeader>
      </headerFooter>
      <autoFilter ref="B4:IT488"/>
    </customSheetView>
  </customSheetViews>
  <mergeCells count="4">
    <mergeCell ref="A2:Z2"/>
    <mergeCell ref="A240:B240"/>
    <mergeCell ref="A339:C339"/>
    <mergeCell ref="E3:AC3"/>
  </mergeCells>
  <pageMargins left="0.47244094488188981" right="0.23622047244094491" top="0.55118110236220474" bottom="0.31496062992125984" header="0.31496062992125984" footer="0.31496062992125984"/>
  <pageSetup paperSize="9" scale="76" fitToHeight="42" orientation="landscape" horizontalDpi="4294967293" verticalDpi="4294967293" r:id="rId10"/>
  <headerFooter>
    <oddHeader>&amp;R5 lipca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WPI GRUDZIEŃ</vt:lpstr>
      <vt:lpstr>'WPI GRUDZIEŃ'!Obszar_wydruku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umbawo01</dc:creator>
  <cp:lastModifiedBy>umkahr01</cp:lastModifiedBy>
  <cp:lastPrinted>2018-12-07T12:43:27Z</cp:lastPrinted>
  <dcterms:created xsi:type="dcterms:W3CDTF">2017-07-17T09:01:09Z</dcterms:created>
  <dcterms:modified xsi:type="dcterms:W3CDTF">2019-01-02T12:28:49Z</dcterms:modified>
</cp:coreProperties>
</file>