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T\WTR\wszyscy\ZT\05 Umowy Porozumienia\21 MIĘKINIA 2025\Przetarg\Odwołanie\Modyfikacje po wyroku\"/>
    </mc:Choice>
  </mc:AlternateContent>
  <xr:revisionPtr revIDLastSave="0" documentId="13_ncr:1_{008A5D0E-CDE5-483C-A168-164F7A823E2A}" xr6:coauthVersionLast="36" xr6:coauthVersionMax="36" xr10:uidLastSave="{00000000-0000-0000-0000-000000000000}"/>
  <bookViews>
    <workbookView xWindow="-120" yWindow="-120" windowWidth="29040" windowHeight="15720" tabRatio="857" activeTab="1" xr2:uid="{00000000-000D-0000-FFFF-FFFF00000000}"/>
  </bookViews>
  <sheets>
    <sheet name=" Czp - zamówienie podstawowe" sheetId="2" r:id="rId1"/>
    <sheet name="Co - opcja" sheetId="3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3" l="1"/>
  <c r="I14" i="3"/>
  <c r="L37" i="2"/>
  <c r="L50" i="2" s="1"/>
  <c r="L63" i="2" s="1"/>
  <c r="L76" i="2" s="1"/>
  <c r="L89" i="2" s="1"/>
  <c r="L102" i="2" s="1"/>
  <c r="L35" i="2"/>
  <c r="L48" i="2" s="1"/>
  <c r="L61" i="2" s="1"/>
  <c r="L74" i="2" s="1"/>
  <c r="L87" i="2" s="1"/>
  <c r="L100" i="2" s="1"/>
  <c r="L36" i="2"/>
  <c r="L49" i="2" s="1"/>
  <c r="L62" i="2" s="1"/>
  <c r="L75" i="2" s="1"/>
  <c r="L88" i="2" s="1"/>
  <c r="L101" i="2" s="1"/>
  <c r="E37" i="2" l="1"/>
  <c r="E38" i="2" s="1"/>
  <c r="E36" i="2"/>
  <c r="E35" i="2"/>
  <c r="J16" i="2" s="1"/>
  <c r="J19" i="2" l="1"/>
  <c r="J17" i="2"/>
  <c r="J14" i="2"/>
  <c r="J18" i="2"/>
  <c r="J15" i="2"/>
  <c r="D36" i="2"/>
  <c r="D37" i="2"/>
  <c r="D35" i="2"/>
  <c r="E50" i="2"/>
  <c r="E49" i="2"/>
  <c r="E48" i="2"/>
  <c r="E51" i="2" s="1"/>
  <c r="D48" i="2"/>
  <c r="F37" i="2" l="1"/>
  <c r="F36" i="2"/>
  <c r="F35" i="2"/>
  <c r="D49" i="2"/>
  <c r="D50" i="2"/>
  <c r="G49" i="2"/>
  <c r="G62" i="2" s="1"/>
  <c r="G75" i="2" s="1"/>
  <c r="G50" i="2"/>
  <c r="G63" i="2" s="1"/>
  <c r="G76" i="2" s="1"/>
  <c r="G48" i="2"/>
  <c r="G51" i="2" s="1"/>
  <c r="E63" i="2"/>
  <c r="E76" i="2" s="1"/>
  <c r="E89" i="2" s="1"/>
  <c r="G38" i="2" l="1"/>
  <c r="D23" i="3" s="1"/>
  <c r="F23" i="3" s="1"/>
  <c r="E61" i="2"/>
  <c r="G61" i="2"/>
  <c r="G89" i="2"/>
  <c r="G102" i="2" s="1"/>
  <c r="E102" i="2"/>
  <c r="G88" i="2"/>
  <c r="G101" i="2" s="1"/>
  <c r="E62" i="2"/>
  <c r="E64" i="2" l="1"/>
  <c r="G74" i="2"/>
  <c r="G87" i="2" s="1"/>
  <c r="G100" i="2" s="1"/>
  <c r="G64" i="2"/>
  <c r="E74" i="2"/>
  <c r="E116" i="2"/>
  <c r="E75" i="2"/>
  <c r="E87" i="2" l="1"/>
  <c r="E100" i="2" s="1"/>
  <c r="E114" i="2" s="1"/>
  <c r="E77" i="2"/>
  <c r="E88" i="2"/>
  <c r="D63" i="2"/>
  <c r="F63" i="2" l="1"/>
  <c r="H63" i="2" s="1"/>
  <c r="E101" i="2"/>
  <c r="E90" i="2"/>
  <c r="G103" i="2"/>
  <c r="G90" i="2"/>
  <c r="G77" i="2"/>
  <c r="F50" i="2"/>
  <c r="H50" i="2" s="1"/>
  <c r="D76" i="2" l="1"/>
  <c r="E115" i="2"/>
  <c r="E103" i="2"/>
  <c r="D62" i="2" l="1"/>
  <c r="F49" i="2"/>
  <c r="H49" i="2" s="1"/>
  <c r="D89" i="2"/>
  <c r="F76" i="2"/>
  <c r="H76" i="2" s="1"/>
  <c r="E117" i="2"/>
  <c r="D75" i="2" l="1"/>
  <c r="F62" i="2"/>
  <c r="H62" i="2" s="1"/>
  <c r="D102" i="2"/>
  <c r="F89" i="2"/>
  <c r="H89" i="2" s="1"/>
  <c r="C28" i="2"/>
  <c r="F48" i="2" l="1"/>
  <c r="H48" i="2" s="1"/>
  <c r="D61" i="2"/>
  <c r="D116" i="2"/>
  <c r="F116" i="2" s="1"/>
  <c r="F102" i="2"/>
  <c r="H102" i="2" s="1"/>
  <c r="D88" i="2"/>
  <c r="F75" i="2"/>
  <c r="H75" i="2" s="1"/>
  <c r="I51" i="2" l="1"/>
  <c r="D34" i="3" s="1"/>
  <c r="D101" i="2"/>
  <c r="F88" i="2"/>
  <c r="H88" i="2" s="1"/>
  <c r="D74" i="2"/>
  <c r="F61" i="2"/>
  <c r="H61" i="2" s="1"/>
  <c r="C14" i="3"/>
  <c r="I64" i="2" l="1"/>
  <c r="D45" i="3" s="1"/>
  <c r="D28" i="2"/>
  <c r="F34" i="3"/>
  <c r="D14" i="3" s="1"/>
  <c r="D115" i="2"/>
  <c r="F115" i="2" s="1"/>
  <c r="F101" i="2"/>
  <c r="H101" i="2" s="1"/>
  <c r="D87" i="2"/>
  <c r="F74" i="2"/>
  <c r="H74" i="2" s="1"/>
  <c r="E28" i="2" l="1"/>
  <c r="I77" i="2"/>
  <c r="D100" i="2"/>
  <c r="F87" i="2"/>
  <c r="H87" i="2" s="1"/>
  <c r="I90" i="2" s="1"/>
  <c r="D67" i="3" s="1"/>
  <c r="F67" i="3" s="1"/>
  <c r="F45" i="3"/>
  <c r="E14" i="3" s="1"/>
  <c r="D56" i="3" l="1"/>
  <c r="F56" i="3" s="1"/>
  <c r="F14" i="3" s="1"/>
  <c r="F28" i="2"/>
  <c r="G28" i="2"/>
  <c r="D114" i="2"/>
  <c r="F114" i="2" s="1"/>
  <c r="F100" i="2"/>
  <c r="H100" i="2" s="1"/>
  <c r="G117" i="2" l="1"/>
  <c r="I28" i="2" s="1"/>
  <c r="I103" i="2"/>
  <c r="G14" i="3"/>
  <c r="J14" i="3" s="1"/>
  <c r="D87" i="3" l="1"/>
  <c r="F87" i="3" s="1"/>
  <c r="D77" i="3"/>
  <c r="F77" i="3" s="1"/>
  <c r="H28" i="2"/>
  <c r="J28" i="2"/>
</calcChain>
</file>

<file path=xl/sharedStrings.xml><?xml version="1.0" encoding="utf-8"?>
<sst xmlns="http://schemas.openxmlformats.org/spreadsheetml/2006/main" count="232" uniqueCount="106">
  <si>
    <t>Cena zamówienia podstawowego</t>
  </si>
  <si>
    <t>Cena Czp 2027</t>
  </si>
  <si>
    <t>Cena Czp 2028</t>
  </si>
  <si>
    <t>Cena Czp 2029</t>
  </si>
  <si>
    <t>Cena Czp</t>
  </si>
  <si>
    <t>Typ autobusu</t>
  </si>
  <si>
    <t>C</t>
  </si>
  <si>
    <t>B</t>
  </si>
  <si>
    <t>Ce</t>
  </si>
  <si>
    <t>Łącznie</t>
  </si>
  <si>
    <t>Przepisana wartość stawki - do 2 miejsc po przecinku</t>
  </si>
  <si>
    <t>Obliczenie ceny zamówienia podstawowego 2027</t>
  </si>
  <si>
    <t>Stawka za 1 wzkm 2027</t>
  </si>
  <si>
    <t>Liczba wzkm dla danego typu 2027</t>
  </si>
  <si>
    <t>Obliczenie ceny zamówienia podstawowego 2028</t>
  </si>
  <si>
    <t>Stawka za 1 wzkm 2028</t>
  </si>
  <si>
    <t>Liczba wzkm dla danego typu 2028</t>
  </si>
  <si>
    <t>Obliczenie ceny zamówienia podstawowego 2029</t>
  </si>
  <si>
    <t>Obliczenie ceny zamówienia podstawowego 2030</t>
  </si>
  <si>
    <t>Stawka za 1 wzkm 2029</t>
  </si>
  <si>
    <t>Liczba wzkm dla danego typu 2029</t>
  </si>
  <si>
    <t>Cena Czp 2030</t>
  </si>
  <si>
    <t>Łącznie wzkm</t>
  </si>
  <si>
    <t>Stawka Cs</t>
  </si>
  <si>
    <t>Cs</t>
  </si>
  <si>
    <t>Ilość wzkm prawa opcji</t>
  </si>
  <si>
    <t>Cs 2027</t>
  </si>
  <si>
    <t>Cs 2028</t>
  </si>
  <si>
    <t>Przepisana Cpo 2028 - do 2 miejsc po przecinku</t>
  </si>
  <si>
    <t>Przepisana Cpo 2027 - do 2 miejsc po przecinku</t>
  </si>
  <si>
    <t>Cs 2029</t>
  </si>
  <si>
    <t>Przepisana Cpo 2029 - do 2 miejsc po przecinku</t>
  </si>
  <si>
    <t>Cs 2030</t>
  </si>
  <si>
    <t>Przepisana Cpo 2030 - do 2 miejsc po przecinku</t>
  </si>
  <si>
    <t>Wykonawca wypełnia tylko komórki zaznaczone żółtym kolorem, do 2 miejsc po przecinku oznacza zaokrąglenie otrzymanej wartości do 2 miejsc po przecinku.</t>
  </si>
  <si>
    <t>Stawka za 1 wzkm 2030</t>
  </si>
  <si>
    <t>Liczba wzkm dla danego typu 2030</t>
  </si>
  <si>
    <t>Stawka za 1 wzkm</t>
  </si>
  <si>
    <t>Obliczenie ceny zamówienia podstawowego 2031</t>
  </si>
  <si>
    <t>Cena Czp 2031</t>
  </si>
  <si>
    <t>Cs 2031</t>
  </si>
  <si>
    <t>Typ B 2025</t>
  </si>
  <si>
    <t>Typ C 2025</t>
  </si>
  <si>
    <t>Typ Ce 2025</t>
  </si>
  <si>
    <t>Typ D 2025</t>
  </si>
  <si>
    <t>Typ De 2025</t>
  </si>
  <si>
    <t>Cena Czp 2032</t>
  </si>
  <si>
    <t>Stawka za 1 wzkm 2031</t>
  </si>
  <si>
    <t>Liczba wzkm dla danego typu 2031</t>
  </si>
  <si>
    <t>Obliczenie ceny zamówienia podstawowego 2032</t>
  </si>
  <si>
    <t>Typ A 2025</t>
  </si>
  <si>
    <t>Cs 2032</t>
  </si>
  <si>
    <t>Załacznik nr 3. 1 do SWZ</t>
  </si>
  <si>
    <t>Cena opcji</t>
  </si>
  <si>
    <t>Cena opcji (Co) = Cena Co 2027+ Cena Co 2028 + Cena Co 2029 + Cena Co 2030 + Cena Co 2031+ Cena Co 2032</t>
  </si>
  <si>
    <t>Cena Co</t>
  </si>
  <si>
    <t>Cena Co 2027</t>
  </si>
  <si>
    <t>Cena Co 2028</t>
  </si>
  <si>
    <t>Cena Co 2029</t>
  </si>
  <si>
    <t>Cena Co 2030</t>
  </si>
  <si>
    <t>Cena Co 2031</t>
  </si>
  <si>
    <t>Cena Co 2032</t>
  </si>
  <si>
    <t>Obliczenie ceny opcji 2027</t>
  </si>
  <si>
    <t>Obliczenie ceny opcji 2028</t>
  </si>
  <si>
    <t>Obliczenie ceny opcji 2029</t>
  </si>
  <si>
    <t>Obliczenie ceny opcji 2030</t>
  </si>
  <si>
    <t>Obliczenie ceny opcji 2031</t>
  </si>
  <si>
    <t>Obliczenie ceny opcji 2032</t>
  </si>
  <si>
    <t xml:space="preserve">FORMULARZ CENOWY </t>
  </si>
  <si>
    <t xml:space="preserve">Łącznie </t>
  </si>
  <si>
    <t>Cena zamówienia podstawowego 2027 = [Cena Cc 2027 (netto) + Cena Cb 2027 (netto)+ Cena Cce 2027 (netto)]</t>
  </si>
  <si>
    <t>Cena zamówienia podstawowego 2028 = [Cena Cc 2028 (netto) + Cena Cb 2028 (netto)+ Cena Cce 2028 (netto)]</t>
  </si>
  <si>
    <t>Cena zamówienia podstawowego 2029 = [Cena Cc 2029 (netto) + Cena Cb 2029 (netto)+ Cena Cce 2029 (netto)]</t>
  </si>
  <si>
    <t>Cena dla każdego typu</t>
  </si>
  <si>
    <t>Cena zamówienia podstawowego 2030 = [Cena Cc 2030 (netto) + Cena Cb 2030 (netto)+ Cena Cce 2030 (netto)]</t>
  </si>
  <si>
    <t>Cena zamówienia podstawowego 2031 = [Cena Cc 2031 (netto) + Cena Cb 2031 (netto)+ Cena Cce 2031 (netto)]</t>
  </si>
  <si>
    <t>Załacznik nr 3. 2 do SWZ</t>
  </si>
  <si>
    <r>
      <t>Stawki które, będą wpisane w Załączniku nr 8 do</t>
    </r>
    <r>
      <rPr>
        <sz val="12"/>
        <color rgb="FF00B050"/>
        <rFont val="Czcionka tekstu podstawowego"/>
        <charset val="238"/>
      </rPr>
      <t xml:space="preserve"> U</t>
    </r>
    <r>
      <rPr>
        <sz val="12"/>
        <color theme="1"/>
        <rFont val="Czcionka tekstu podstawowego"/>
        <charset val="238"/>
      </rPr>
      <t>mowy. Według nich będzie rozliczona bieżąca praca przewozowa</t>
    </r>
  </si>
  <si>
    <t>Przepisana wartość ceny  - do 2 miejsc po przecinku</t>
  </si>
  <si>
    <t>Przepisana wartość ceny - do 2 miejsc po przecinku</t>
  </si>
  <si>
    <t>!!! Wszystkie ceny są cenami netto, przed wpisaniem wartosci do Formularza ofertowego należy doliczyć również podatek VAT !!!</t>
  </si>
  <si>
    <t>Wpisana w ofercie stawka za autobus typu B (aktualna na dzień składania ofert)</t>
  </si>
  <si>
    <t>Wpisana w ofercie stawka za autobus typu C (aktualna na dzień składania ofert)</t>
  </si>
  <si>
    <t>Wpisana w ofercie stawka za autobus typu Ce (aktualna na dzień składania ofert)</t>
  </si>
  <si>
    <t>FORMULARZ CENOWY OPCJA</t>
  </si>
  <si>
    <t>Cena</t>
  </si>
  <si>
    <t>Cena Czp 2033</t>
  </si>
  <si>
    <t>Cena zamówienia podstawowego 2032 = [Cena Cc 2032(netto) + Cena Cb 2032 (netto)+ Cena Cce 2032 (netto)]</t>
  </si>
  <si>
    <t>Stawka za 1 wzkm 2032</t>
  </si>
  <si>
    <t>Liczba wzkm dla danego typu 2032</t>
  </si>
  <si>
    <t>Obliczenie ceny zamówienia podstawowego 2033</t>
  </si>
  <si>
    <t>Cena zamówienia podstawowego 2033 = [Cena Cc 2033 (netto) + Cena Cb 2033 (netto)+ Cena Cce 2033 (netto)]</t>
  </si>
  <si>
    <t xml:space="preserve">Cena zamówienia podstawowego (Czp) =  Cena Czp 2027 + Cena Czp 2028 + Cena Czp 2029 + Cena Czp 2030+ Cena Czp 2031+ Cena Czp 2032 + Cena Czp 2033 </t>
  </si>
  <si>
    <t>Cena Co 2033</t>
  </si>
  <si>
    <t>Cs 2033</t>
  </si>
  <si>
    <t>Obliczenie ceny opcji 2033</t>
  </si>
  <si>
    <t>Cena opcji 2027 = Cs 2027 * 60 000  wzkm</t>
  </si>
  <si>
    <t>Cena opcji 2028 = Cs 2028 * 120 000  wzkm</t>
  </si>
  <si>
    <t>Cena opcji 2029 = Cs 2029 * 160 000  wzkm</t>
  </si>
  <si>
    <t>Cena opcji 2030 = Cs 2030 * 220 000 wzkm</t>
  </si>
  <si>
    <t>Cena opcji 2031 = Cs 2031 * 240 000 wzkm</t>
  </si>
  <si>
    <t>Cena opcji 2032 = Cs 2032 * 260 000 wzkm</t>
  </si>
  <si>
    <t>Cena opcji 2033 = Cs 2033 * 44 000 wzkm</t>
  </si>
  <si>
    <t>Przepisana Cpo 2031 - do 2 miejsc po przecinku</t>
  </si>
  <si>
    <t>Przepisana Cpo 2032 - do 2 miejsc po przecinku</t>
  </si>
  <si>
    <t>Przepisana Cpo 2033 - do 2 miejsc po przecinku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</si>
</sst>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4">
    <font>
      <sz val="11"/>
      <color theme="1"/>
      <name val="Czcionka tekstu podstawowego"/>
      <family val="2"/>
      <charset val="238"/>
    </font>
    <font>
      <i/>
      <sz val="12"/>
      <name val="Czcionka tekstu podstawowego"/>
      <charset val="238"/>
    </font>
    <font>
      <sz val="12"/>
      <name val="Czcionka tekstu podstawowego"/>
      <charset val="238"/>
    </font>
    <font>
      <sz val="12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2"/>
      <color rgb="FF0070C0"/>
      <name val="Czcionka tekstu podstawowego"/>
      <charset val="238"/>
    </font>
    <font>
      <sz val="12"/>
      <color rgb="FF0070C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rgb="FFFF0000"/>
      <name val="Czcionka tekstu podstawowego"/>
      <charset val="238"/>
    </font>
    <font>
      <b/>
      <sz val="12"/>
      <color rgb="FF00B050"/>
      <name val="Czcionka tekstu podstawowego"/>
      <charset val="238"/>
    </font>
    <font>
      <sz val="12"/>
      <color rgb="FF00B050"/>
      <name val="Czcionka tekstu podstawowego"/>
      <charset val="238"/>
    </font>
    <font>
      <b/>
      <sz val="12"/>
      <name val="Czcionka tekstu podstawowego"/>
      <charset val="238"/>
    </font>
    <font>
      <strike/>
      <sz val="12"/>
      <color rgb="FFFF0000"/>
      <name val="Czcionka tekstu podstawowego"/>
      <charset val="238"/>
    </font>
    <font>
      <i/>
      <sz val="12"/>
      <color rgb="FF00B05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4" fillId="3" borderId="0" xfId="0" applyFont="1" applyFill="1"/>
    <xf numFmtId="0" fontId="3" fillId="3" borderId="0" xfId="0" applyFont="1" applyFill="1"/>
    <xf numFmtId="0" fontId="3" fillId="2" borderId="1" xfId="0" applyFont="1" applyFill="1" applyBorder="1"/>
    <xf numFmtId="164" fontId="3" fillId="0" borderId="0" xfId="0" applyNumberFormat="1" applyFont="1"/>
    <xf numFmtId="165" fontId="3" fillId="0" borderId="0" xfId="0" applyNumberFormat="1" applyFont="1"/>
    <xf numFmtId="0" fontId="11" fillId="0" borderId="0" xfId="0" applyFont="1"/>
    <xf numFmtId="0" fontId="1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2" fillId="3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Fill="1" applyBorder="1"/>
    <xf numFmtId="164" fontId="3" fillId="3" borderId="1" xfId="0" applyNumberFormat="1" applyFont="1" applyFill="1" applyBorder="1"/>
    <xf numFmtId="4" fontId="3" fillId="0" borderId="0" xfId="0" applyNumberFormat="1" applyFont="1"/>
    <xf numFmtId="0" fontId="2" fillId="2" borderId="1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4" fontId="2" fillId="0" borderId="0" xfId="0" applyNumberFormat="1" applyFont="1"/>
    <xf numFmtId="164" fontId="3" fillId="0" borderId="1" xfId="0" applyNumberFormat="1" applyFont="1" applyBorder="1"/>
    <xf numFmtId="4" fontId="3" fillId="0" borderId="1" xfId="0" applyNumberFormat="1" applyFont="1" applyBorder="1"/>
    <xf numFmtId="0" fontId="10" fillId="0" borderId="0" xfId="0" applyFont="1"/>
    <xf numFmtId="0" fontId="13" fillId="0" borderId="0" xfId="0" applyFont="1"/>
    <xf numFmtId="0" fontId="8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2" fillId="2" borderId="1" xfId="0" applyFont="1" applyFill="1" applyBorder="1" applyAlignment="1">
      <alignment wrapText="1"/>
    </xf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4" fontId="2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center" vertical="center" wrapText="1"/>
    </xf>
    <xf numFmtId="4" fontId="3" fillId="3" borderId="14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1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117"/>
  <sheetViews>
    <sheetView topLeftCell="A70" workbookViewId="0">
      <selection activeCell="E38" sqref="E38"/>
    </sheetView>
  </sheetViews>
  <sheetFormatPr defaultRowHeight="15"/>
  <cols>
    <col min="1" max="1" width="9" style="3"/>
    <col min="2" max="2" width="12.125" style="3" customWidth="1"/>
    <col min="3" max="3" width="20.875" style="3" customWidth="1"/>
    <col min="4" max="4" width="20.375" style="3" customWidth="1"/>
    <col min="5" max="5" width="14.75" style="3" customWidth="1"/>
    <col min="6" max="6" width="18.75" style="3" customWidth="1"/>
    <col min="7" max="9" width="15.75" style="3" bestFit="1" customWidth="1"/>
    <col min="10" max="10" width="15.375" style="3" bestFit="1" customWidth="1"/>
    <col min="11" max="11" width="11.375" style="3" customWidth="1"/>
    <col min="12" max="12" width="9" style="3"/>
    <col min="13" max="13" width="19.75" style="3" customWidth="1"/>
    <col min="14" max="14" width="6.375" style="3" customWidth="1"/>
    <col min="15" max="15" width="14.625" style="3" customWidth="1"/>
    <col min="16" max="16" width="14.375" style="3" bestFit="1" customWidth="1"/>
    <col min="17" max="17" width="11.125" style="3" customWidth="1"/>
    <col min="18" max="18" width="32.125" style="3" customWidth="1"/>
    <col min="19" max="19" width="11.5" style="3" customWidth="1"/>
    <col min="20" max="16384" width="9" style="3"/>
  </cols>
  <sheetData>
    <row r="2" spans="3:16">
      <c r="C2" s="2"/>
      <c r="D2" s="2"/>
    </row>
    <row r="3" spans="3:16" ht="15.75">
      <c r="C3" s="15" t="s">
        <v>52</v>
      </c>
      <c r="D3" s="1"/>
    </row>
    <row r="5" spans="3:16" ht="15.75">
      <c r="C5" s="72" t="s">
        <v>68</v>
      </c>
      <c r="D5" s="72"/>
      <c r="E5" s="72"/>
      <c r="F5" s="72"/>
      <c r="G5" s="72"/>
    </row>
    <row r="6" spans="3:16" ht="15.75">
      <c r="C6" s="4"/>
      <c r="D6" s="4"/>
      <c r="E6" s="4"/>
      <c r="F6" s="5"/>
      <c r="G6" s="6"/>
      <c r="H6" s="6"/>
      <c r="I6" s="6"/>
      <c r="J6" s="7"/>
    </row>
    <row r="7" spans="3:16" ht="15.75">
      <c r="C7" s="8"/>
      <c r="D7" s="9"/>
      <c r="E7" s="9"/>
    </row>
    <row r="8" spans="3:16" ht="15.75">
      <c r="C8" s="9" t="s">
        <v>80</v>
      </c>
    </row>
    <row r="9" spans="3:16" ht="15.75">
      <c r="C9" s="10" t="s">
        <v>34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1" spans="3:16" ht="15.75" thickBot="1"/>
    <row r="12" spans="3:16">
      <c r="C12" s="64" t="s">
        <v>81</v>
      </c>
      <c r="D12" s="65"/>
      <c r="E12" s="65"/>
      <c r="F12" s="66"/>
      <c r="G12" s="70"/>
      <c r="I12" s="60" t="s">
        <v>5</v>
      </c>
      <c r="J12" s="60" t="s">
        <v>37</v>
      </c>
      <c r="K12" s="62" t="s">
        <v>10</v>
      </c>
      <c r="L12" s="54" t="s">
        <v>77</v>
      </c>
      <c r="M12" s="55"/>
    </row>
    <row r="13" spans="3:16" ht="15.75" thickBot="1">
      <c r="C13" s="67"/>
      <c r="D13" s="68"/>
      <c r="E13" s="68"/>
      <c r="F13" s="69"/>
      <c r="G13" s="71"/>
      <c r="I13" s="61"/>
      <c r="J13" s="61"/>
      <c r="K13" s="63"/>
      <c r="L13" s="56"/>
      <c r="M13" s="57"/>
    </row>
    <row r="14" spans="3:16">
      <c r="C14" s="64" t="s">
        <v>82</v>
      </c>
      <c r="D14" s="65"/>
      <c r="E14" s="65"/>
      <c r="F14" s="66"/>
      <c r="G14" s="70"/>
      <c r="I14" s="12" t="s">
        <v>50</v>
      </c>
      <c r="J14" s="27">
        <f>J16*0.8</f>
        <v>0</v>
      </c>
      <c r="K14" s="53"/>
      <c r="L14" s="56"/>
      <c r="M14" s="57"/>
    </row>
    <row r="15" spans="3:16" ht="15.75" thickBot="1">
      <c r="C15" s="67"/>
      <c r="D15" s="68"/>
      <c r="E15" s="68"/>
      <c r="F15" s="69"/>
      <c r="G15" s="71"/>
      <c r="I15" s="12" t="s">
        <v>41</v>
      </c>
      <c r="J15" s="27">
        <f>(J16*0.9)</f>
        <v>0</v>
      </c>
      <c r="K15" s="53"/>
      <c r="L15" s="56"/>
      <c r="M15" s="57"/>
      <c r="O15" s="13"/>
      <c r="P15" s="14"/>
    </row>
    <row r="16" spans="3:16">
      <c r="C16" s="64" t="s">
        <v>83</v>
      </c>
      <c r="D16" s="65"/>
      <c r="E16" s="65"/>
      <c r="F16" s="66"/>
      <c r="G16" s="70"/>
      <c r="I16" s="12" t="s">
        <v>42</v>
      </c>
      <c r="J16" s="27">
        <f>((G12*E35)+(G14*E36)+(G16*E37))/((0.9*E35)+(E36)+(1.15*E37))</f>
        <v>0</v>
      </c>
      <c r="K16" s="53"/>
      <c r="L16" s="56"/>
      <c r="M16" s="57"/>
      <c r="O16" s="13"/>
      <c r="P16" s="14"/>
    </row>
    <row r="17" spans="2:18" ht="15.75" thickBot="1">
      <c r="C17" s="67"/>
      <c r="D17" s="68"/>
      <c r="E17" s="68"/>
      <c r="F17" s="69"/>
      <c r="G17" s="71"/>
      <c r="I17" s="12" t="s">
        <v>43</v>
      </c>
      <c r="J17" s="27">
        <f>J16*1.15</f>
        <v>0</v>
      </c>
      <c r="K17" s="53"/>
      <c r="L17" s="56"/>
      <c r="M17" s="57"/>
      <c r="O17" s="13"/>
      <c r="P17" s="14"/>
    </row>
    <row r="18" spans="2:18">
      <c r="I18" s="12" t="s">
        <v>44</v>
      </c>
      <c r="J18" s="27">
        <f>(J16*1.25)</f>
        <v>0</v>
      </c>
      <c r="K18" s="53"/>
      <c r="L18" s="56"/>
      <c r="M18" s="57"/>
      <c r="O18" s="13"/>
      <c r="P18" s="14"/>
    </row>
    <row r="19" spans="2:18" ht="15.75" thickBot="1">
      <c r="I19" s="12" t="s">
        <v>45</v>
      </c>
      <c r="J19" s="27">
        <f>J16*1.35</f>
        <v>0</v>
      </c>
      <c r="K19" s="53"/>
      <c r="L19" s="58"/>
      <c r="M19" s="59"/>
    </row>
    <row r="24" spans="2:18" ht="15.75">
      <c r="C24" s="15" t="s">
        <v>0</v>
      </c>
      <c r="D24" s="2"/>
      <c r="E24" s="2"/>
      <c r="F24" s="2"/>
      <c r="G24" s="2"/>
      <c r="H24" s="2"/>
      <c r="I24" s="2"/>
      <c r="J24" s="2"/>
    </row>
    <row r="25" spans="2:18">
      <c r="B25" s="16"/>
      <c r="C25" s="17" t="s">
        <v>92</v>
      </c>
      <c r="D25" s="17"/>
      <c r="E25" s="17"/>
      <c r="F25" s="17"/>
      <c r="G25" s="17"/>
      <c r="H25" s="17"/>
      <c r="I25" s="17"/>
      <c r="J25" s="17"/>
      <c r="K25" s="18"/>
      <c r="L25" s="18"/>
      <c r="M25" s="19"/>
      <c r="N25" s="19"/>
      <c r="O25" s="19"/>
      <c r="P25" s="19"/>
      <c r="Q25" s="19"/>
    </row>
    <row r="26" spans="2:18" ht="12.75" customHeight="1">
      <c r="C26" s="2"/>
      <c r="D26" s="2"/>
      <c r="E26" s="2"/>
      <c r="F26" s="2"/>
      <c r="G26" s="2"/>
      <c r="H26" s="2"/>
      <c r="I26" s="2"/>
      <c r="J26" s="2"/>
      <c r="M26" s="19"/>
      <c r="N26" s="19"/>
      <c r="O26" s="19"/>
      <c r="P26" s="19"/>
      <c r="Q26" s="19"/>
    </row>
    <row r="27" spans="2:18" ht="30">
      <c r="C27" s="20" t="s">
        <v>1</v>
      </c>
      <c r="D27" s="20" t="s">
        <v>2</v>
      </c>
      <c r="E27" s="20" t="s">
        <v>3</v>
      </c>
      <c r="F27" s="20" t="s">
        <v>21</v>
      </c>
      <c r="G27" s="20" t="s">
        <v>39</v>
      </c>
      <c r="H27" s="20" t="s">
        <v>46</v>
      </c>
      <c r="I27" s="20" t="s">
        <v>86</v>
      </c>
      <c r="J27" s="21" t="s">
        <v>4</v>
      </c>
      <c r="M27" s="19"/>
      <c r="N27" s="19"/>
      <c r="O27" s="19"/>
      <c r="P27" s="19"/>
      <c r="Q27" s="19"/>
    </row>
    <row r="28" spans="2:18" ht="14.25" customHeight="1">
      <c r="C28" s="22">
        <f>G38</f>
        <v>0</v>
      </c>
      <c r="D28" s="22">
        <f>I51</f>
        <v>0</v>
      </c>
      <c r="E28" s="22">
        <f>I64</f>
        <v>0</v>
      </c>
      <c r="F28" s="22">
        <f>I77</f>
        <v>0</v>
      </c>
      <c r="G28" s="22">
        <f>I90</f>
        <v>0</v>
      </c>
      <c r="H28" s="22">
        <f>I103</f>
        <v>0</v>
      </c>
      <c r="I28" s="22">
        <f>G117</f>
        <v>0</v>
      </c>
      <c r="J28" s="22">
        <f>SUM(C28:I28)</f>
        <v>0</v>
      </c>
      <c r="M28" s="19"/>
      <c r="N28" s="19"/>
      <c r="O28" s="19"/>
      <c r="P28" s="19"/>
      <c r="Q28" s="19"/>
    </row>
    <row r="29" spans="2:18">
      <c r="C29" s="2"/>
      <c r="D29" s="2"/>
      <c r="E29" s="2"/>
      <c r="F29" s="2"/>
      <c r="G29" s="2"/>
      <c r="H29" s="2"/>
      <c r="I29" s="2"/>
      <c r="J29" s="2"/>
      <c r="M29" s="19"/>
      <c r="N29" s="19"/>
      <c r="O29" s="19"/>
      <c r="P29" s="19"/>
      <c r="Q29" s="19"/>
    </row>
    <row r="30" spans="2:18" ht="15" customHeight="1">
      <c r="C30" s="15" t="s">
        <v>11</v>
      </c>
      <c r="D30" s="2"/>
      <c r="E30" s="2"/>
      <c r="F30" s="2"/>
      <c r="G30" s="2"/>
      <c r="H30" s="2"/>
      <c r="I30" s="2"/>
      <c r="J30" s="2"/>
      <c r="M30" s="19"/>
      <c r="N30" s="19"/>
      <c r="O30" s="19"/>
      <c r="P30" s="19"/>
      <c r="Q30" s="19"/>
    </row>
    <row r="31" spans="2:18">
      <c r="B31" s="16"/>
      <c r="C31" s="2" t="s">
        <v>70</v>
      </c>
      <c r="D31" s="2"/>
      <c r="E31" s="2"/>
      <c r="F31" s="2"/>
      <c r="G31" s="2"/>
      <c r="H31" s="2"/>
      <c r="I31" s="2"/>
      <c r="J31" s="2"/>
      <c r="M31" s="19"/>
      <c r="N31" s="19"/>
      <c r="O31" s="19"/>
      <c r="P31" s="19"/>
      <c r="Q31" s="19"/>
      <c r="R31" s="23"/>
    </row>
    <row r="32" spans="2:18">
      <c r="B32" s="7"/>
      <c r="C32" s="2"/>
      <c r="D32" s="2"/>
      <c r="E32" s="2"/>
      <c r="F32" s="2"/>
      <c r="G32" s="2"/>
      <c r="H32" s="2"/>
      <c r="I32" s="2"/>
      <c r="J32" s="2"/>
    </row>
    <row r="33" spans="3:14">
      <c r="C33" s="2"/>
      <c r="D33" s="2"/>
      <c r="E33" s="2"/>
      <c r="F33" s="2"/>
      <c r="G33" s="2"/>
      <c r="H33" s="2"/>
      <c r="I33" s="2"/>
      <c r="J33" s="2"/>
    </row>
    <row r="34" spans="3:14" ht="60">
      <c r="C34" s="20" t="s">
        <v>5</v>
      </c>
      <c r="D34" s="20" t="s">
        <v>12</v>
      </c>
      <c r="E34" s="20" t="s">
        <v>13</v>
      </c>
      <c r="F34" s="20" t="s">
        <v>73</v>
      </c>
      <c r="G34" s="20" t="s">
        <v>78</v>
      </c>
      <c r="H34" s="2"/>
      <c r="I34" s="2"/>
      <c r="J34" s="2"/>
      <c r="K34" s="24" t="s">
        <v>5</v>
      </c>
      <c r="L34" s="24" t="s">
        <v>12</v>
      </c>
      <c r="M34" s="24" t="s">
        <v>10</v>
      </c>
    </row>
    <row r="35" spans="3:14" ht="14.25" customHeight="1">
      <c r="C35" s="25" t="s">
        <v>7</v>
      </c>
      <c r="D35" s="26">
        <f>M35</f>
        <v>0</v>
      </c>
      <c r="E35" s="27">
        <f>433869/12*10</f>
        <v>361557.5</v>
      </c>
      <c r="F35" s="26">
        <f>(D35*E35)</f>
        <v>0</v>
      </c>
      <c r="G35" s="28"/>
      <c r="H35" s="2"/>
      <c r="I35" s="2"/>
      <c r="J35" s="2"/>
      <c r="K35" s="29" t="s">
        <v>7</v>
      </c>
      <c r="L35" s="30">
        <f>(0.85*0.15*G12)+G12</f>
        <v>0</v>
      </c>
      <c r="M35" s="31"/>
    </row>
    <row r="36" spans="3:14" ht="14.25" customHeight="1">
      <c r="C36" s="25" t="s">
        <v>6</v>
      </c>
      <c r="D36" s="26">
        <f t="shared" ref="D36:D37" si="0">M36</f>
        <v>0</v>
      </c>
      <c r="E36" s="27">
        <f>1464279/12*10</f>
        <v>1220232.5</v>
      </c>
      <c r="F36" s="26">
        <f t="shared" ref="F36:F37" si="1">(D36*E36)</f>
        <v>0</v>
      </c>
      <c r="G36" s="28"/>
      <c r="H36" s="2"/>
      <c r="I36" s="2"/>
      <c r="J36" s="2"/>
      <c r="K36" s="29" t="s">
        <v>6</v>
      </c>
      <c r="L36" s="30">
        <f>(0.85*0.15*G14)+G14</f>
        <v>0</v>
      </c>
      <c r="M36" s="31"/>
    </row>
    <row r="37" spans="3:14">
      <c r="C37" s="25" t="s">
        <v>8</v>
      </c>
      <c r="D37" s="26">
        <f t="shared" si="0"/>
        <v>0</v>
      </c>
      <c r="E37" s="27">
        <f>339443/12*10</f>
        <v>282869.16666666669</v>
      </c>
      <c r="F37" s="26">
        <f t="shared" si="1"/>
        <v>0</v>
      </c>
      <c r="G37" s="28"/>
      <c r="H37" s="2"/>
      <c r="I37" s="2"/>
      <c r="J37" s="2"/>
      <c r="K37" s="29" t="s">
        <v>8</v>
      </c>
      <c r="L37" s="30">
        <f>(0.85*0.15*G16)+G16</f>
        <v>0</v>
      </c>
      <c r="M37" s="31"/>
      <c r="N37" s="32"/>
    </row>
    <row r="38" spans="3:14">
      <c r="C38" s="2"/>
      <c r="D38" s="33" t="s">
        <v>22</v>
      </c>
      <c r="E38" s="27">
        <f>SUM(E35:E37)</f>
        <v>1864659.1666666667</v>
      </c>
      <c r="F38" s="33" t="s">
        <v>69</v>
      </c>
      <c r="G38" s="26">
        <f>SUM(G35:G37)</f>
        <v>0</v>
      </c>
      <c r="H38" s="2"/>
      <c r="I38" s="2"/>
      <c r="J38" s="2"/>
      <c r="K38" s="34"/>
      <c r="L38" s="35"/>
      <c r="M38" s="35"/>
      <c r="N38" s="32"/>
    </row>
    <row r="39" spans="3:14">
      <c r="C39" s="2"/>
      <c r="D39" s="2"/>
      <c r="E39" s="2"/>
      <c r="F39" s="2"/>
      <c r="G39" s="2"/>
      <c r="H39" s="2"/>
      <c r="I39" s="2"/>
      <c r="J39" s="2"/>
      <c r="K39" s="34"/>
      <c r="L39" s="35"/>
      <c r="M39" s="35"/>
      <c r="N39" s="32"/>
    </row>
    <row r="40" spans="3:14">
      <c r="C40" s="2"/>
      <c r="D40" s="2"/>
      <c r="E40" s="2"/>
      <c r="F40" s="2"/>
      <c r="G40" s="2"/>
      <c r="H40" s="2"/>
      <c r="I40" s="2"/>
      <c r="J40" s="2"/>
      <c r="N40" s="32"/>
    </row>
    <row r="41" spans="3:14">
      <c r="C41" s="2"/>
      <c r="D41" s="2"/>
      <c r="E41" s="2"/>
      <c r="F41" s="2"/>
      <c r="G41" s="2"/>
      <c r="H41" s="2"/>
      <c r="I41" s="2"/>
      <c r="J41" s="2"/>
      <c r="N41" s="32"/>
    </row>
    <row r="42" spans="3:14">
      <c r="C42" s="2"/>
      <c r="D42" s="2"/>
      <c r="E42" s="2"/>
      <c r="F42" s="2"/>
      <c r="G42" s="2"/>
      <c r="H42" s="2"/>
      <c r="I42" s="2"/>
      <c r="J42" s="2"/>
      <c r="N42" s="32"/>
    </row>
    <row r="43" spans="3:14" ht="15.75">
      <c r="C43" s="15" t="s">
        <v>14</v>
      </c>
      <c r="D43" s="2"/>
      <c r="E43" s="2"/>
      <c r="F43" s="2"/>
      <c r="G43" s="2"/>
      <c r="H43" s="2"/>
      <c r="I43" s="2"/>
      <c r="J43" s="2"/>
    </row>
    <row r="44" spans="3:14">
      <c r="C44" s="2" t="s">
        <v>71</v>
      </c>
      <c r="D44" s="2"/>
      <c r="E44" s="2"/>
      <c r="F44" s="2"/>
      <c r="G44" s="2"/>
      <c r="H44" s="2"/>
      <c r="I44" s="2"/>
      <c r="J44" s="2"/>
    </row>
    <row r="45" spans="3:14">
      <c r="C45" s="2"/>
      <c r="D45" s="2"/>
      <c r="E45" s="2"/>
      <c r="F45" s="2"/>
      <c r="G45" s="2"/>
      <c r="H45" s="2"/>
      <c r="I45" s="2"/>
      <c r="J45" s="2"/>
    </row>
    <row r="46" spans="3:14">
      <c r="C46" s="2"/>
      <c r="D46" s="2"/>
      <c r="E46" s="2"/>
      <c r="F46" s="2"/>
      <c r="G46" s="2"/>
      <c r="H46" s="2"/>
      <c r="I46" s="2"/>
      <c r="J46" s="2"/>
    </row>
    <row r="47" spans="3:14" ht="60">
      <c r="C47" s="20" t="s">
        <v>5</v>
      </c>
      <c r="D47" s="20" t="s">
        <v>12</v>
      </c>
      <c r="E47" s="20" t="s">
        <v>13</v>
      </c>
      <c r="F47" s="20" t="s">
        <v>15</v>
      </c>
      <c r="G47" s="20" t="s">
        <v>16</v>
      </c>
      <c r="H47" s="20" t="s">
        <v>73</v>
      </c>
      <c r="I47" s="20" t="s">
        <v>78</v>
      </c>
      <c r="J47" s="2"/>
      <c r="K47" s="24" t="s">
        <v>5</v>
      </c>
      <c r="L47" s="24" t="s">
        <v>15</v>
      </c>
      <c r="M47" s="24" t="s">
        <v>10</v>
      </c>
    </row>
    <row r="48" spans="3:14">
      <c r="C48" s="25" t="s">
        <v>7</v>
      </c>
      <c r="D48" s="26">
        <f>M35</f>
        <v>0</v>
      </c>
      <c r="E48" s="27">
        <f>432751/12*2</f>
        <v>72125.166666666672</v>
      </c>
      <c r="F48" s="26">
        <f>M48</f>
        <v>0</v>
      </c>
      <c r="G48" s="27">
        <f>E35</f>
        <v>361557.5</v>
      </c>
      <c r="H48" s="26">
        <f>(D48*E48)+(F48*G48)</f>
        <v>0</v>
      </c>
      <c r="I48" s="28"/>
      <c r="J48" s="2"/>
      <c r="K48" s="29" t="s">
        <v>7</v>
      </c>
      <c r="L48" s="30">
        <f>(0.85*0.15*M35)+M35</f>
        <v>0</v>
      </c>
      <c r="M48" s="31"/>
    </row>
    <row r="49" spans="3:13">
      <c r="C49" s="25" t="s">
        <v>6</v>
      </c>
      <c r="D49" s="26">
        <f>M36</f>
        <v>0</v>
      </c>
      <c r="E49" s="27">
        <f>1457165/12*2</f>
        <v>242860.83333333334</v>
      </c>
      <c r="F49" s="26">
        <f>M49</f>
        <v>0</v>
      </c>
      <c r="G49" s="27">
        <f>E36</f>
        <v>1220232.5</v>
      </c>
      <c r="H49" s="26">
        <f t="shared" ref="H49:H50" si="2">(D49*E49)+(F49*G49)</f>
        <v>0</v>
      </c>
      <c r="I49" s="28"/>
      <c r="J49" s="2"/>
      <c r="K49" s="29" t="s">
        <v>6</v>
      </c>
      <c r="L49" s="30">
        <f>(0.85*0.15*M36)+M36</f>
        <v>0</v>
      </c>
      <c r="M49" s="31"/>
    </row>
    <row r="50" spans="3:13">
      <c r="C50" s="25" t="s">
        <v>8</v>
      </c>
      <c r="D50" s="26">
        <f>M37</f>
        <v>0</v>
      </c>
      <c r="E50" s="27">
        <f>338398.85/12*2</f>
        <v>56399.808333333327</v>
      </c>
      <c r="F50" s="26">
        <f>M50</f>
        <v>0</v>
      </c>
      <c r="G50" s="27">
        <f>E37</f>
        <v>282869.16666666669</v>
      </c>
      <c r="H50" s="26">
        <f t="shared" si="2"/>
        <v>0</v>
      </c>
      <c r="I50" s="28"/>
      <c r="J50" s="2"/>
      <c r="K50" s="29" t="s">
        <v>8</v>
      </c>
      <c r="L50" s="30">
        <f>(0.85*0.15*M37)+M37</f>
        <v>0</v>
      </c>
      <c r="M50" s="31"/>
    </row>
    <row r="51" spans="3:13">
      <c r="C51" s="2"/>
      <c r="D51" s="33" t="s">
        <v>22</v>
      </c>
      <c r="E51" s="27">
        <f>SUM(E48:E50)</f>
        <v>371385.80833333335</v>
      </c>
      <c r="F51" s="33" t="s">
        <v>22</v>
      </c>
      <c r="G51" s="27">
        <f>SUM(G48:G50)</f>
        <v>1864659.1666666667</v>
      </c>
      <c r="H51" s="33" t="s">
        <v>9</v>
      </c>
      <c r="I51" s="26">
        <f>SUM(I48:I50)</f>
        <v>0</v>
      </c>
      <c r="J51" s="2"/>
    </row>
    <row r="52" spans="3:13">
      <c r="C52" s="2"/>
      <c r="D52" s="2"/>
      <c r="E52" s="2"/>
      <c r="F52" s="2"/>
      <c r="G52" s="2"/>
      <c r="H52" s="2"/>
      <c r="I52" s="2"/>
      <c r="J52" s="2"/>
    </row>
    <row r="53" spans="3:13">
      <c r="C53" s="2"/>
      <c r="D53" s="2"/>
      <c r="E53" s="2"/>
      <c r="F53" s="36"/>
      <c r="G53" s="2"/>
      <c r="H53" s="2"/>
      <c r="I53" s="2"/>
      <c r="J53" s="2"/>
    </row>
    <row r="56" spans="3:13" ht="15.75">
      <c r="C56" s="9" t="s">
        <v>17</v>
      </c>
    </row>
    <row r="57" spans="3:13">
      <c r="C57" s="3" t="s">
        <v>72</v>
      </c>
    </row>
    <row r="60" spans="3:13" ht="60">
      <c r="C60" s="24" t="s">
        <v>5</v>
      </c>
      <c r="D60" s="24" t="s">
        <v>15</v>
      </c>
      <c r="E60" s="24" t="s">
        <v>16</v>
      </c>
      <c r="F60" s="24" t="s">
        <v>19</v>
      </c>
      <c r="G60" s="24" t="s">
        <v>20</v>
      </c>
      <c r="H60" s="20" t="s">
        <v>73</v>
      </c>
      <c r="I60" s="24" t="s">
        <v>79</v>
      </c>
      <c r="K60" s="24" t="s">
        <v>5</v>
      </c>
      <c r="L60" s="24" t="s">
        <v>19</v>
      </c>
      <c r="M60" s="24" t="s">
        <v>10</v>
      </c>
    </row>
    <row r="61" spans="3:13">
      <c r="C61" s="29" t="s">
        <v>7</v>
      </c>
      <c r="D61" s="37">
        <f>M48</f>
        <v>0</v>
      </c>
      <c r="E61" s="38">
        <f>E48</f>
        <v>72125.166666666672</v>
      </c>
      <c r="F61" s="37">
        <f>M61</f>
        <v>0</v>
      </c>
      <c r="G61" s="38">
        <f>G48</f>
        <v>361557.5</v>
      </c>
      <c r="H61" s="37">
        <f>(D61*E61)+(F61*G61)</f>
        <v>0</v>
      </c>
      <c r="I61" s="31"/>
      <c r="K61" s="29" t="s">
        <v>7</v>
      </c>
      <c r="L61" s="30">
        <f>(0.85*0.15*M48)+M48</f>
        <v>0</v>
      </c>
      <c r="M61" s="31"/>
    </row>
    <row r="62" spans="3:13">
      <c r="C62" s="29" t="s">
        <v>6</v>
      </c>
      <c r="D62" s="37">
        <f>M49</f>
        <v>0</v>
      </c>
      <c r="E62" s="38">
        <f>E49</f>
        <v>242860.83333333334</v>
      </c>
      <c r="F62" s="37">
        <f>M62</f>
        <v>0</v>
      </c>
      <c r="G62" s="38">
        <f>G49</f>
        <v>1220232.5</v>
      </c>
      <c r="H62" s="37">
        <f t="shared" ref="H62:H63" si="3">(D62*E62)+(F62*G62)</f>
        <v>0</v>
      </c>
      <c r="I62" s="31"/>
      <c r="K62" s="29" t="s">
        <v>6</v>
      </c>
      <c r="L62" s="30">
        <f>(0.85*0.15*M49)+M49</f>
        <v>0</v>
      </c>
      <c r="M62" s="31"/>
    </row>
    <row r="63" spans="3:13">
      <c r="C63" s="29" t="s">
        <v>8</v>
      </c>
      <c r="D63" s="37">
        <f>M50</f>
        <v>0</v>
      </c>
      <c r="E63" s="38">
        <f>E50</f>
        <v>56399.808333333327</v>
      </c>
      <c r="F63" s="37">
        <f>M63</f>
        <v>0</v>
      </c>
      <c r="G63" s="38">
        <f>G50</f>
        <v>282869.16666666669</v>
      </c>
      <c r="H63" s="37">
        <f t="shared" si="3"/>
        <v>0</v>
      </c>
      <c r="I63" s="31"/>
      <c r="K63" s="29" t="s">
        <v>8</v>
      </c>
      <c r="L63" s="30">
        <f>(0.85*0.15*M50)+M50</f>
        <v>0</v>
      </c>
      <c r="M63" s="31"/>
    </row>
    <row r="64" spans="3:13">
      <c r="D64" s="12" t="s">
        <v>22</v>
      </c>
      <c r="E64" s="38">
        <f>SUM(E61:E63)</f>
        <v>371385.80833333335</v>
      </c>
      <c r="F64" s="12" t="s">
        <v>22</v>
      </c>
      <c r="G64" s="38">
        <f>SUM(G61:G63)</f>
        <v>1864659.1666666667</v>
      </c>
      <c r="H64" s="12" t="s">
        <v>9</v>
      </c>
      <c r="I64" s="37">
        <f>SUM(I61:I63)</f>
        <v>0</v>
      </c>
    </row>
    <row r="69" spans="3:13" ht="15.75">
      <c r="C69" s="9" t="s">
        <v>18</v>
      </c>
    </row>
    <row r="70" spans="3:13">
      <c r="C70" s="3" t="s">
        <v>74</v>
      </c>
    </row>
    <row r="73" spans="3:13" ht="60">
      <c r="C73" s="24" t="s">
        <v>5</v>
      </c>
      <c r="D73" s="24" t="s">
        <v>19</v>
      </c>
      <c r="E73" s="24" t="s">
        <v>20</v>
      </c>
      <c r="F73" s="24" t="s">
        <v>35</v>
      </c>
      <c r="G73" s="24" t="s">
        <v>36</v>
      </c>
      <c r="H73" s="20" t="s">
        <v>73</v>
      </c>
      <c r="I73" s="24" t="s">
        <v>79</v>
      </c>
      <c r="K73" s="24" t="s">
        <v>5</v>
      </c>
      <c r="L73" s="24" t="s">
        <v>35</v>
      </c>
      <c r="M73" s="24" t="s">
        <v>10</v>
      </c>
    </row>
    <row r="74" spans="3:13">
      <c r="C74" s="29" t="s">
        <v>7</v>
      </c>
      <c r="D74" s="37">
        <f>M61</f>
        <v>0</v>
      </c>
      <c r="E74" s="38">
        <f>E61</f>
        <v>72125.166666666672</v>
      </c>
      <c r="F74" s="37">
        <f>M74</f>
        <v>0</v>
      </c>
      <c r="G74" s="38">
        <f>G61</f>
        <v>361557.5</v>
      </c>
      <c r="H74" s="37">
        <f>(D74*E74)+(F74*G74)</f>
        <v>0</v>
      </c>
      <c r="I74" s="31"/>
      <c r="K74" s="29" t="s">
        <v>7</v>
      </c>
      <c r="L74" s="30">
        <f>(0.85*0.15*M61)+M61</f>
        <v>0</v>
      </c>
      <c r="M74" s="31"/>
    </row>
    <row r="75" spans="3:13">
      <c r="C75" s="29" t="s">
        <v>6</v>
      </c>
      <c r="D75" s="37">
        <f>M62</f>
        <v>0</v>
      </c>
      <c r="E75" s="38">
        <f>E62</f>
        <v>242860.83333333334</v>
      </c>
      <c r="F75" s="37">
        <f>M75</f>
        <v>0</v>
      </c>
      <c r="G75" s="38">
        <f>G62</f>
        <v>1220232.5</v>
      </c>
      <c r="H75" s="37">
        <f t="shared" ref="H75:H76" si="4">(D75*E75)+(F75*G75)</f>
        <v>0</v>
      </c>
      <c r="I75" s="31"/>
      <c r="K75" s="29" t="s">
        <v>6</v>
      </c>
      <c r="L75" s="30">
        <f>(0.85*0.15*M62)+M62</f>
        <v>0</v>
      </c>
      <c r="M75" s="31"/>
    </row>
    <row r="76" spans="3:13">
      <c r="C76" s="29" t="s">
        <v>8</v>
      </c>
      <c r="D76" s="37">
        <f>M63</f>
        <v>0</v>
      </c>
      <c r="E76" s="38">
        <f>E63</f>
        <v>56399.808333333327</v>
      </c>
      <c r="F76" s="37">
        <f>M76</f>
        <v>0</v>
      </c>
      <c r="G76" s="38">
        <f>G63</f>
        <v>282869.16666666669</v>
      </c>
      <c r="H76" s="37">
        <f t="shared" si="4"/>
        <v>0</v>
      </c>
      <c r="I76" s="31"/>
      <c r="K76" s="29" t="s">
        <v>8</v>
      </c>
      <c r="L76" s="30">
        <f>(0.85*0.15*M63)+M63</f>
        <v>0</v>
      </c>
      <c r="M76" s="31"/>
    </row>
    <row r="77" spans="3:13">
      <c r="D77" s="12" t="s">
        <v>22</v>
      </c>
      <c r="E77" s="38">
        <f>SUM(E74:E76)</f>
        <v>371385.80833333335</v>
      </c>
      <c r="F77" s="12" t="s">
        <v>22</v>
      </c>
      <c r="G77" s="38">
        <f>SUM(G74:G76)</f>
        <v>1864659.1666666667</v>
      </c>
      <c r="H77" s="12" t="s">
        <v>9</v>
      </c>
      <c r="I77" s="37">
        <f>SUM(I74:I76)</f>
        <v>0</v>
      </c>
    </row>
    <row r="82" spans="3:13" ht="15.75">
      <c r="C82" s="9" t="s">
        <v>38</v>
      </c>
    </row>
    <row r="83" spans="3:13">
      <c r="C83" s="3" t="s">
        <v>75</v>
      </c>
    </row>
    <row r="86" spans="3:13" ht="60">
      <c r="C86" s="24" t="s">
        <v>5</v>
      </c>
      <c r="D86" s="24" t="s">
        <v>35</v>
      </c>
      <c r="E86" s="24" t="s">
        <v>36</v>
      </c>
      <c r="F86" s="24" t="s">
        <v>47</v>
      </c>
      <c r="G86" s="24" t="s">
        <v>48</v>
      </c>
      <c r="H86" s="20" t="s">
        <v>73</v>
      </c>
      <c r="I86" s="24" t="s">
        <v>79</v>
      </c>
      <c r="K86" s="24" t="s">
        <v>5</v>
      </c>
      <c r="L86" s="24" t="s">
        <v>47</v>
      </c>
      <c r="M86" s="24" t="s">
        <v>10</v>
      </c>
    </row>
    <row r="87" spans="3:13">
      <c r="C87" s="29" t="s">
        <v>7</v>
      </c>
      <c r="D87" s="37">
        <f>M74</f>
        <v>0</v>
      </c>
      <c r="E87" s="38">
        <f>E74</f>
        <v>72125.166666666672</v>
      </c>
      <c r="F87" s="37">
        <f>M87</f>
        <v>0</v>
      </c>
      <c r="G87" s="38">
        <f>G74</f>
        <v>361557.5</v>
      </c>
      <c r="H87" s="37">
        <f>(D87*E87)+(F87*G87)</f>
        <v>0</v>
      </c>
      <c r="I87" s="31"/>
      <c r="K87" s="29" t="s">
        <v>7</v>
      </c>
      <c r="L87" s="30">
        <f>(0.85*0.15*M74)+M74</f>
        <v>0</v>
      </c>
      <c r="M87" s="31"/>
    </row>
    <row r="88" spans="3:13">
      <c r="C88" s="29" t="s">
        <v>6</v>
      </c>
      <c r="D88" s="37">
        <f>M75</f>
        <v>0</v>
      </c>
      <c r="E88" s="38">
        <f>E75</f>
        <v>242860.83333333334</v>
      </c>
      <c r="F88" s="37">
        <f>M88</f>
        <v>0</v>
      </c>
      <c r="G88" s="38">
        <f>G75</f>
        <v>1220232.5</v>
      </c>
      <c r="H88" s="37">
        <f t="shared" ref="H88:H89" si="5">(D88*E88)+(F88*G88)</f>
        <v>0</v>
      </c>
      <c r="I88" s="31"/>
      <c r="K88" s="29" t="s">
        <v>6</v>
      </c>
      <c r="L88" s="30">
        <f>(0.85*0.15*M75)+M75</f>
        <v>0</v>
      </c>
      <c r="M88" s="31"/>
    </row>
    <row r="89" spans="3:13">
      <c r="C89" s="29" t="s">
        <v>8</v>
      </c>
      <c r="D89" s="37">
        <f>M76</f>
        <v>0</v>
      </c>
      <c r="E89" s="38">
        <f>E76</f>
        <v>56399.808333333327</v>
      </c>
      <c r="F89" s="37">
        <f>M89</f>
        <v>0</v>
      </c>
      <c r="G89" s="38">
        <f>G76</f>
        <v>282869.16666666669</v>
      </c>
      <c r="H89" s="37">
        <f t="shared" si="5"/>
        <v>0</v>
      </c>
      <c r="I89" s="31"/>
      <c r="K89" s="29" t="s">
        <v>8</v>
      </c>
      <c r="L89" s="30">
        <f>(0.85*0.15*M76)+M76</f>
        <v>0</v>
      </c>
      <c r="M89" s="31"/>
    </row>
    <row r="90" spans="3:13">
      <c r="D90" s="12" t="s">
        <v>22</v>
      </c>
      <c r="E90" s="38">
        <f>SUM(E87:E89)</f>
        <v>371385.80833333335</v>
      </c>
      <c r="F90" s="12" t="s">
        <v>22</v>
      </c>
      <c r="G90" s="38">
        <f>SUM(G87:G89)</f>
        <v>1864659.1666666667</v>
      </c>
      <c r="H90" s="12" t="s">
        <v>9</v>
      </c>
      <c r="I90" s="37">
        <f>SUM(I87:I89)</f>
        <v>0</v>
      </c>
    </row>
    <row r="95" spans="3:13" ht="15.75">
      <c r="C95" s="9" t="s">
        <v>49</v>
      </c>
    </row>
    <row r="96" spans="3:13">
      <c r="C96" s="3" t="s">
        <v>87</v>
      </c>
    </row>
    <row r="99" spans="3:13" ht="60">
      <c r="C99" s="24" t="s">
        <v>5</v>
      </c>
      <c r="D99" s="24" t="s">
        <v>47</v>
      </c>
      <c r="E99" s="24" t="s">
        <v>48</v>
      </c>
      <c r="F99" s="24" t="s">
        <v>88</v>
      </c>
      <c r="G99" s="24" t="s">
        <v>89</v>
      </c>
      <c r="H99" s="20" t="s">
        <v>73</v>
      </c>
      <c r="I99" s="24" t="s">
        <v>79</v>
      </c>
      <c r="K99" s="24" t="s">
        <v>5</v>
      </c>
      <c r="L99" s="24" t="s">
        <v>88</v>
      </c>
      <c r="M99" s="24" t="s">
        <v>10</v>
      </c>
    </row>
    <row r="100" spans="3:13">
      <c r="C100" s="29" t="s">
        <v>7</v>
      </c>
      <c r="D100" s="37">
        <f>M87</f>
        <v>0</v>
      </c>
      <c r="E100" s="38">
        <f>E87</f>
        <v>72125.166666666672</v>
      </c>
      <c r="F100" s="37">
        <f>M100</f>
        <v>0</v>
      </c>
      <c r="G100" s="38">
        <f>G87</f>
        <v>361557.5</v>
      </c>
      <c r="H100" s="37">
        <f>(D100*E100)+(F100*G100)</f>
        <v>0</v>
      </c>
      <c r="I100" s="31"/>
      <c r="K100" s="29" t="s">
        <v>7</v>
      </c>
      <c r="L100" s="30">
        <f>(0.85*0.15*M87)+M87</f>
        <v>0</v>
      </c>
      <c r="M100" s="31"/>
    </row>
    <row r="101" spans="3:13">
      <c r="C101" s="29" t="s">
        <v>6</v>
      </c>
      <c r="D101" s="37">
        <f>M88</f>
        <v>0</v>
      </c>
      <c r="E101" s="38">
        <f>E88</f>
        <v>242860.83333333334</v>
      </c>
      <c r="F101" s="37">
        <f>M101</f>
        <v>0</v>
      </c>
      <c r="G101" s="38">
        <f>G88</f>
        <v>1220232.5</v>
      </c>
      <c r="H101" s="37">
        <f t="shared" ref="H101:H102" si="6">(D101*E101)+(F101*G101)</f>
        <v>0</v>
      </c>
      <c r="I101" s="31"/>
      <c r="K101" s="29" t="s">
        <v>6</v>
      </c>
      <c r="L101" s="30">
        <f>(0.85*0.15*M88)+M88</f>
        <v>0</v>
      </c>
      <c r="M101" s="31"/>
    </row>
    <row r="102" spans="3:13">
      <c r="C102" s="29" t="s">
        <v>8</v>
      </c>
      <c r="D102" s="37">
        <f>M89</f>
        <v>0</v>
      </c>
      <c r="E102" s="38">
        <f>E89</f>
        <v>56399.808333333327</v>
      </c>
      <c r="F102" s="37">
        <f>M102</f>
        <v>0</v>
      </c>
      <c r="G102" s="38">
        <f>G89</f>
        <v>282869.16666666669</v>
      </c>
      <c r="H102" s="37">
        <f t="shared" si="6"/>
        <v>0</v>
      </c>
      <c r="I102" s="31"/>
      <c r="K102" s="29" t="s">
        <v>8</v>
      </c>
      <c r="L102" s="30">
        <f>(0.85*0.15*M89)+M89</f>
        <v>0</v>
      </c>
      <c r="M102" s="31"/>
    </row>
    <row r="103" spans="3:13">
      <c r="D103" s="12" t="s">
        <v>22</v>
      </c>
      <c r="E103" s="38">
        <f>SUM(E100:E102)</f>
        <v>371385.80833333335</v>
      </c>
      <c r="F103" s="12" t="s">
        <v>22</v>
      </c>
      <c r="G103" s="38">
        <f>SUM(G100:G102)</f>
        <v>1864659.1666666667</v>
      </c>
      <c r="H103" s="12" t="s">
        <v>9</v>
      </c>
      <c r="I103" s="37">
        <f>SUM(I100:I102)</f>
        <v>0</v>
      </c>
    </row>
    <row r="109" spans="3:13" ht="15.75">
      <c r="C109" s="9" t="s">
        <v>90</v>
      </c>
    </row>
    <row r="110" spans="3:13">
      <c r="C110" s="3" t="s">
        <v>91</v>
      </c>
    </row>
    <row r="113" spans="3:7" ht="60">
      <c r="C113" s="24" t="s">
        <v>5</v>
      </c>
      <c r="D113" s="24" t="s">
        <v>47</v>
      </c>
      <c r="E113" s="24" t="s">
        <v>48</v>
      </c>
      <c r="F113" s="20" t="s">
        <v>73</v>
      </c>
      <c r="G113" s="24" t="s">
        <v>79</v>
      </c>
    </row>
    <row r="114" spans="3:7">
      <c r="C114" s="29" t="s">
        <v>7</v>
      </c>
      <c r="D114" s="37">
        <f>M100</f>
        <v>0</v>
      </c>
      <c r="E114" s="38">
        <f>E100</f>
        <v>72125.166666666672</v>
      </c>
      <c r="F114" s="37">
        <f>D114*E114</f>
        <v>0</v>
      </c>
      <c r="G114" s="31"/>
    </row>
    <row r="115" spans="3:7">
      <c r="C115" s="29" t="s">
        <v>6</v>
      </c>
      <c r="D115" s="37">
        <f>M101</f>
        <v>0</v>
      </c>
      <c r="E115" s="38">
        <f>E101</f>
        <v>242860.83333333334</v>
      </c>
      <c r="F115" s="37">
        <f>D115*E115</f>
        <v>0</v>
      </c>
      <c r="G115" s="31"/>
    </row>
    <row r="116" spans="3:7">
      <c r="C116" s="29" t="s">
        <v>8</v>
      </c>
      <c r="D116" s="37">
        <f>M102</f>
        <v>0</v>
      </c>
      <c r="E116" s="38">
        <f>E102</f>
        <v>56399.808333333327</v>
      </c>
      <c r="F116" s="37">
        <f t="shared" ref="F116" si="7">D116*E116</f>
        <v>0</v>
      </c>
      <c r="G116" s="31"/>
    </row>
    <row r="117" spans="3:7">
      <c r="D117" s="12" t="s">
        <v>22</v>
      </c>
      <c r="E117" s="38">
        <f>SUM(E114:E116)</f>
        <v>371385.80833333335</v>
      </c>
      <c r="F117" s="12" t="s">
        <v>9</v>
      </c>
      <c r="G117" s="37">
        <f>SUM(G114:G116)</f>
        <v>0</v>
      </c>
    </row>
  </sheetData>
  <mergeCells count="11">
    <mergeCell ref="C5:G5"/>
    <mergeCell ref="C14:F15"/>
    <mergeCell ref="G14:G15"/>
    <mergeCell ref="C12:F13"/>
    <mergeCell ref="G12:G13"/>
    <mergeCell ref="L12:M19"/>
    <mergeCell ref="I12:I13"/>
    <mergeCell ref="J12:J13"/>
    <mergeCell ref="K12:K13"/>
    <mergeCell ref="C16:F17"/>
    <mergeCell ref="G16:G17"/>
  </mergeCell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88"/>
  <sheetViews>
    <sheetView tabSelected="1" topLeftCell="A73" workbookViewId="0">
      <selection activeCell="E89" sqref="E89"/>
    </sheetView>
  </sheetViews>
  <sheetFormatPr defaultRowHeight="15"/>
  <cols>
    <col min="1" max="2" width="9" style="3"/>
    <col min="3" max="3" width="16.125" style="3" customWidth="1"/>
    <col min="4" max="4" width="13.375" style="3" bestFit="1" customWidth="1"/>
    <col min="5" max="5" width="15.75" style="3" bestFit="1" customWidth="1"/>
    <col min="6" max="6" width="14.625" style="3" bestFit="1" customWidth="1"/>
    <col min="7" max="7" width="14.375" style="3" bestFit="1" customWidth="1"/>
    <col min="8" max="8" width="15.375" style="3" customWidth="1"/>
    <col min="9" max="9" width="15.25" style="3" customWidth="1"/>
    <col min="10" max="11" width="14.375" style="3" bestFit="1" customWidth="1"/>
    <col min="12" max="12" width="11.375" style="3" bestFit="1" customWidth="1"/>
    <col min="13" max="14" width="9" style="3"/>
    <col min="15" max="15" width="10.75" style="3" bestFit="1" customWidth="1"/>
    <col min="16" max="16" width="41.25" style="3" bestFit="1" customWidth="1"/>
    <col min="17" max="17" width="9" style="3"/>
    <col min="18" max="18" width="54.875" style="3" bestFit="1" customWidth="1"/>
    <col min="19" max="16384" width="9" style="3"/>
  </cols>
  <sheetData>
    <row r="2" spans="2:16">
      <c r="C2" s="2"/>
      <c r="D2" s="39"/>
    </row>
    <row r="3" spans="2:16">
      <c r="C3" s="1" t="s">
        <v>76</v>
      </c>
      <c r="D3" s="40"/>
    </row>
    <row r="5" spans="2:16" ht="15.75">
      <c r="C5" s="73" t="s">
        <v>84</v>
      </c>
      <c r="D5" s="73"/>
      <c r="E5" s="73"/>
      <c r="F5" s="73"/>
      <c r="G5" s="6"/>
      <c r="H5" s="6"/>
      <c r="I5" s="6"/>
      <c r="J5" s="6"/>
      <c r="K5" s="7"/>
    </row>
    <row r="7" spans="2:16" ht="15.75">
      <c r="C7" s="9" t="s">
        <v>80</v>
      </c>
    </row>
    <row r="8" spans="2:16" ht="15.75">
      <c r="C8" s="10" t="s">
        <v>34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8"/>
      <c r="P8" s="18"/>
    </row>
    <row r="10" spans="2:16" ht="15.75">
      <c r="C10" s="9" t="s">
        <v>53</v>
      </c>
    </row>
    <row r="11" spans="2:16">
      <c r="B11" s="7"/>
      <c r="C11" s="3" t="s">
        <v>54</v>
      </c>
      <c r="J11" s="41"/>
    </row>
    <row r="13" spans="2:16" ht="30">
      <c r="C13" s="24" t="s">
        <v>56</v>
      </c>
      <c r="D13" s="24" t="s">
        <v>57</v>
      </c>
      <c r="E13" s="24" t="s">
        <v>58</v>
      </c>
      <c r="F13" s="24" t="s">
        <v>59</v>
      </c>
      <c r="G13" s="24" t="s">
        <v>60</v>
      </c>
      <c r="H13" s="24" t="s">
        <v>61</v>
      </c>
      <c r="I13" s="24" t="s">
        <v>93</v>
      </c>
      <c r="J13" s="42" t="s">
        <v>55</v>
      </c>
    </row>
    <row r="14" spans="2:16">
      <c r="C14" s="43">
        <f>F24</f>
        <v>0</v>
      </c>
      <c r="D14" s="43">
        <f>F35</f>
        <v>0</v>
      </c>
      <c r="E14" s="43">
        <f>F46</f>
        <v>0</v>
      </c>
      <c r="F14" s="43">
        <f>F57</f>
        <v>0</v>
      </c>
      <c r="G14" s="43">
        <f>F68</f>
        <v>0</v>
      </c>
      <c r="H14" s="43">
        <f>F78</f>
        <v>0</v>
      </c>
      <c r="I14" s="43">
        <f>F88</f>
        <v>0</v>
      </c>
      <c r="J14" s="43">
        <f>C14+D14+E14+F14+G14+H14+I14</f>
        <v>0</v>
      </c>
    </row>
    <row r="18" spans="1:17" ht="15.75">
      <c r="C18" s="9" t="s">
        <v>62</v>
      </c>
    </row>
    <row r="19" spans="1:17">
      <c r="C19" s="3" t="s">
        <v>96</v>
      </c>
      <c r="K19" s="32"/>
    </row>
    <row r="22" spans="1:17" ht="30">
      <c r="B22" s="2"/>
      <c r="C22" s="20" t="s">
        <v>24</v>
      </c>
      <c r="D22" s="20" t="s">
        <v>23</v>
      </c>
      <c r="E22" s="20" t="s">
        <v>25</v>
      </c>
      <c r="F22" s="20" t="s">
        <v>85</v>
      </c>
      <c r="G22" s="19"/>
      <c r="H22" s="34"/>
      <c r="I22" s="34"/>
      <c r="J22" s="34"/>
      <c r="K22" s="34"/>
      <c r="L22" s="34"/>
      <c r="M22" s="34"/>
    </row>
    <row r="23" spans="1:17">
      <c r="B23" s="2"/>
      <c r="C23" s="25" t="s">
        <v>26</v>
      </c>
      <c r="D23" s="44">
        <f>' Czp - zamówienie podstawowe'!G38/(' Czp - zamówienie podstawowe'!E38)</f>
        <v>0</v>
      </c>
      <c r="E23" s="44">
        <v>60000</v>
      </c>
      <c r="F23" s="45">
        <f>D23*E23</f>
        <v>0</v>
      </c>
      <c r="G23" s="19"/>
      <c r="H23" s="52"/>
      <c r="I23" s="46"/>
      <c r="J23" s="46"/>
      <c r="K23" s="46"/>
      <c r="L23" s="46"/>
      <c r="M23" s="34"/>
    </row>
    <row r="24" spans="1:17" ht="60">
      <c r="B24" s="2"/>
      <c r="C24" s="19"/>
      <c r="D24" s="47"/>
      <c r="E24" s="48" t="s">
        <v>29</v>
      </c>
      <c r="F24" s="28"/>
      <c r="G24" s="19"/>
      <c r="H24" s="49"/>
      <c r="I24" s="34"/>
      <c r="J24" s="49"/>
      <c r="K24" s="49"/>
      <c r="L24" s="49"/>
      <c r="M24" s="34"/>
    </row>
    <row r="25" spans="1:17">
      <c r="C25" s="34"/>
      <c r="D25" s="35"/>
      <c r="E25" s="49"/>
      <c r="F25" s="49"/>
      <c r="G25" s="34"/>
      <c r="H25" s="34"/>
      <c r="I25" s="34"/>
      <c r="J25" s="49"/>
      <c r="K25" s="49"/>
      <c r="L25" s="49"/>
      <c r="M25" s="34"/>
    </row>
    <row r="26" spans="1:17">
      <c r="C26" s="34"/>
      <c r="D26" s="35"/>
      <c r="E26" s="49"/>
      <c r="F26" s="49"/>
      <c r="G26" s="34"/>
      <c r="H26" s="34"/>
      <c r="I26" s="34"/>
      <c r="J26" s="49"/>
      <c r="K26" s="49"/>
      <c r="L26" s="49"/>
      <c r="M26" s="34"/>
      <c r="N26" s="34"/>
      <c r="O26" s="35"/>
      <c r="P26" s="35"/>
      <c r="Q26" s="35"/>
    </row>
    <row r="27" spans="1:17">
      <c r="C27" s="34"/>
      <c r="D27" s="34"/>
      <c r="E27" s="34"/>
      <c r="F27" s="49"/>
      <c r="G27" s="34"/>
      <c r="H27" s="34"/>
      <c r="I27" s="34"/>
      <c r="J27" s="34"/>
      <c r="K27" s="34"/>
      <c r="L27" s="49"/>
      <c r="M27" s="34"/>
    </row>
    <row r="28" spans="1:17">
      <c r="C28" s="34"/>
      <c r="D28" s="34"/>
      <c r="E28" s="34"/>
      <c r="F28" s="49"/>
      <c r="G28" s="34"/>
      <c r="H28" s="34"/>
      <c r="I28" s="34"/>
      <c r="J28" s="34"/>
      <c r="K28" s="34"/>
      <c r="L28" s="49"/>
      <c r="M28" s="34"/>
    </row>
    <row r="29" spans="1:17" ht="15.75">
      <c r="C29" s="9" t="s">
        <v>63</v>
      </c>
      <c r="H29" s="34"/>
      <c r="I29" s="34"/>
      <c r="J29" s="34"/>
      <c r="K29" s="34"/>
      <c r="L29" s="34"/>
      <c r="M29" s="34"/>
    </row>
    <row r="30" spans="1:17">
      <c r="C30" s="3" t="s">
        <v>97</v>
      </c>
      <c r="H30" s="34"/>
      <c r="I30" s="34"/>
      <c r="J30" s="34"/>
      <c r="K30" s="50"/>
      <c r="L30" s="34"/>
      <c r="M30" s="34"/>
    </row>
    <row r="31" spans="1:17">
      <c r="A31" s="2"/>
      <c r="B31" s="2"/>
      <c r="C31" s="2"/>
      <c r="D31" s="2"/>
      <c r="E31" s="2"/>
      <c r="F31" s="2"/>
      <c r="G31" s="2"/>
      <c r="H31" s="34"/>
      <c r="I31" s="34"/>
      <c r="J31" s="34"/>
      <c r="K31" s="34"/>
      <c r="L31" s="34"/>
      <c r="M31" s="34"/>
    </row>
    <row r="32" spans="1:17">
      <c r="A32" s="2"/>
      <c r="B32" s="2"/>
      <c r="C32" s="2"/>
      <c r="D32" s="2"/>
      <c r="E32" s="2"/>
      <c r="F32" s="2"/>
      <c r="G32" s="2"/>
    </row>
    <row r="33" spans="1:7" ht="30">
      <c r="A33" s="2"/>
      <c r="B33" s="2"/>
      <c r="C33" s="20" t="s">
        <v>24</v>
      </c>
      <c r="D33" s="20" t="s">
        <v>23</v>
      </c>
      <c r="E33" s="20" t="s">
        <v>25</v>
      </c>
      <c r="F33" s="20" t="s">
        <v>85</v>
      </c>
      <c r="G33" s="19"/>
    </row>
    <row r="34" spans="1:7">
      <c r="A34" s="2"/>
      <c r="B34" s="2"/>
      <c r="C34" s="25" t="s">
        <v>27</v>
      </c>
      <c r="D34" s="44">
        <f>' Czp - zamówienie podstawowe'!I51/(' Czp - zamówienie podstawowe'!E51+' Czp - zamówienie podstawowe'!G51)</f>
        <v>0</v>
      </c>
      <c r="E34" s="44">
        <v>120000</v>
      </c>
      <c r="F34" s="45">
        <f>D34*E34</f>
        <v>0</v>
      </c>
      <c r="G34" s="19"/>
    </row>
    <row r="35" spans="1:7" ht="60">
      <c r="A35" s="2"/>
      <c r="B35" s="2"/>
      <c r="C35" s="19"/>
      <c r="D35" s="47"/>
      <c r="E35" s="48" t="s">
        <v>28</v>
      </c>
      <c r="F35" s="28"/>
      <c r="G35" s="19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 ht="15.75">
      <c r="A40" s="2"/>
      <c r="B40" s="2"/>
      <c r="C40" s="15" t="s">
        <v>64</v>
      </c>
      <c r="D40" s="2"/>
      <c r="E40" s="2"/>
      <c r="F40" s="2"/>
      <c r="G40" s="2"/>
    </row>
    <row r="41" spans="1:7">
      <c r="A41" s="2"/>
      <c r="B41" s="2"/>
      <c r="C41" s="2" t="s">
        <v>98</v>
      </c>
      <c r="D41" s="2"/>
      <c r="E41" s="2"/>
      <c r="F41" s="2"/>
      <c r="G41" s="2"/>
    </row>
    <row r="42" spans="1:7">
      <c r="A42" s="2"/>
      <c r="B42" s="2"/>
      <c r="C42" s="2"/>
      <c r="D42" s="2"/>
      <c r="E42" s="2"/>
      <c r="F42" s="2"/>
      <c r="G42" s="2"/>
    </row>
    <row r="43" spans="1:7">
      <c r="A43" s="2"/>
      <c r="B43" s="2"/>
      <c r="C43" s="2"/>
      <c r="D43" s="2"/>
      <c r="E43" s="2"/>
      <c r="F43" s="2"/>
      <c r="G43" s="2"/>
    </row>
    <row r="44" spans="1:7" ht="30">
      <c r="A44" s="2"/>
      <c r="B44" s="2"/>
      <c r="C44" s="20" t="s">
        <v>24</v>
      </c>
      <c r="D44" s="20" t="s">
        <v>23</v>
      </c>
      <c r="E44" s="20" t="s">
        <v>25</v>
      </c>
      <c r="F44" s="20" t="s">
        <v>85</v>
      </c>
      <c r="G44" s="2"/>
    </row>
    <row r="45" spans="1:7">
      <c r="A45" s="2"/>
      <c r="B45" s="2"/>
      <c r="C45" s="25" t="s">
        <v>30</v>
      </c>
      <c r="D45" s="44">
        <f>' Czp - zamówienie podstawowe'!I64/(' Czp - zamówienie podstawowe'!E64+' Czp - zamówienie podstawowe'!G64)</f>
        <v>0</v>
      </c>
      <c r="E45" s="44">
        <v>160000</v>
      </c>
      <c r="F45" s="45">
        <f>D45*E45</f>
        <v>0</v>
      </c>
      <c r="G45" s="2"/>
    </row>
    <row r="46" spans="1:7" ht="60">
      <c r="A46" s="2"/>
      <c r="B46" s="2"/>
      <c r="C46" s="19"/>
      <c r="D46" s="47"/>
      <c r="E46" s="48" t="s">
        <v>31</v>
      </c>
      <c r="F46" s="28"/>
      <c r="G46" s="2"/>
    </row>
    <row r="47" spans="1:7">
      <c r="A47" s="2"/>
      <c r="B47" s="2"/>
      <c r="C47" s="19"/>
      <c r="D47" s="47"/>
      <c r="E47" s="51"/>
      <c r="F47" s="51"/>
      <c r="G47" s="2"/>
    </row>
    <row r="48" spans="1:7">
      <c r="A48" s="2"/>
      <c r="B48" s="2"/>
      <c r="C48" s="19"/>
      <c r="D48" s="47"/>
      <c r="E48" s="51"/>
      <c r="F48" s="51"/>
      <c r="G48" s="2"/>
    </row>
    <row r="49" spans="1:7">
      <c r="A49" s="2"/>
      <c r="B49" s="2"/>
      <c r="C49" s="19"/>
      <c r="D49" s="19"/>
      <c r="E49" s="19"/>
      <c r="F49" s="51"/>
      <c r="G49" s="2"/>
    </row>
    <row r="50" spans="1:7">
      <c r="A50" s="2"/>
      <c r="B50" s="2"/>
      <c r="C50" s="19"/>
      <c r="D50" s="19"/>
      <c r="E50" s="19"/>
      <c r="F50" s="51"/>
      <c r="G50" s="2"/>
    </row>
    <row r="51" spans="1:7" ht="15.75">
      <c r="A51" s="2"/>
      <c r="B51" s="2"/>
      <c r="C51" s="15" t="s">
        <v>65</v>
      </c>
      <c r="D51" s="2"/>
      <c r="E51" s="2"/>
      <c r="F51" s="2"/>
      <c r="G51" s="2"/>
    </row>
    <row r="52" spans="1:7">
      <c r="A52" s="2"/>
      <c r="B52" s="2"/>
      <c r="C52" s="2" t="s">
        <v>99</v>
      </c>
      <c r="D52" s="2"/>
      <c r="E52" s="2"/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 ht="30">
      <c r="A55" s="2"/>
      <c r="B55" s="2"/>
      <c r="C55" s="20" t="s">
        <v>24</v>
      </c>
      <c r="D55" s="20" t="s">
        <v>23</v>
      </c>
      <c r="E55" s="20" t="s">
        <v>25</v>
      </c>
      <c r="F55" s="20" t="s">
        <v>85</v>
      </c>
      <c r="G55" s="2"/>
    </row>
    <row r="56" spans="1:7">
      <c r="A56" s="2"/>
      <c r="B56" s="2"/>
      <c r="C56" s="25" t="s">
        <v>32</v>
      </c>
      <c r="D56" s="44">
        <f>' Czp - zamówienie podstawowe'!I77/(' Czp - zamówienie podstawowe'!E77+' Czp - zamówienie podstawowe'!G77)</f>
        <v>0</v>
      </c>
      <c r="E56" s="44">
        <v>220000</v>
      </c>
      <c r="F56" s="45">
        <f>D56*E56</f>
        <v>0</v>
      </c>
      <c r="G56" s="2"/>
    </row>
    <row r="57" spans="1:7" ht="60">
      <c r="A57" s="2"/>
      <c r="B57" s="2"/>
      <c r="C57" s="19"/>
      <c r="D57" s="47"/>
      <c r="E57" s="48" t="s">
        <v>33</v>
      </c>
      <c r="F57" s="28"/>
      <c r="G57" s="2"/>
    </row>
    <row r="58" spans="1:7">
      <c r="A58" s="2"/>
      <c r="B58" s="2"/>
      <c r="C58" s="2"/>
      <c r="D58" s="2"/>
      <c r="E58" s="2"/>
      <c r="F58" s="2"/>
      <c r="G58" s="2"/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 ht="15.75">
      <c r="A62" s="2"/>
      <c r="B62" s="2"/>
      <c r="C62" s="15" t="s">
        <v>66</v>
      </c>
      <c r="D62" s="2"/>
      <c r="E62" s="2"/>
      <c r="F62" s="2"/>
      <c r="G62" s="2"/>
    </row>
    <row r="63" spans="1:7">
      <c r="A63" s="2"/>
      <c r="B63" s="2"/>
      <c r="C63" s="2" t="s">
        <v>100</v>
      </c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A65" s="2"/>
      <c r="B65" s="2"/>
      <c r="C65" s="2"/>
      <c r="D65" s="2"/>
      <c r="E65" s="2"/>
      <c r="F65" s="2"/>
      <c r="G65" s="2"/>
    </row>
    <row r="66" spans="1:7" ht="30">
      <c r="A66" s="2"/>
      <c r="B66" s="2"/>
      <c r="C66" s="20" t="s">
        <v>24</v>
      </c>
      <c r="D66" s="20" t="s">
        <v>23</v>
      </c>
      <c r="E66" s="20" t="s">
        <v>25</v>
      </c>
      <c r="F66" s="20" t="s">
        <v>85</v>
      </c>
      <c r="G66" s="2"/>
    </row>
    <row r="67" spans="1:7">
      <c r="A67" s="2"/>
      <c r="B67" s="2"/>
      <c r="C67" s="25" t="s">
        <v>40</v>
      </c>
      <c r="D67" s="44">
        <f>' Czp - zamówienie podstawowe'!I90/(' Czp - zamówienie podstawowe'!E90+' Czp - zamówienie podstawowe'!G90)</f>
        <v>0</v>
      </c>
      <c r="E67" s="44">
        <v>240000</v>
      </c>
      <c r="F67" s="45">
        <f>D67*E67</f>
        <v>0</v>
      </c>
      <c r="G67" s="2"/>
    </row>
    <row r="68" spans="1:7" ht="60">
      <c r="A68" s="2"/>
      <c r="B68" s="2"/>
      <c r="C68" s="19"/>
      <c r="D68" s="47"/>
      <c r="E68" s="48" t="s">
        <v>103</v>
      </c>
      <c r="F68" s="28"/>
      <c r="G68" s="2"/>
    </row>
    <row r="69" spans="1:7">
      <c r="A69" s="2"/>
      <c r="B69" s="2"/>
      <c r="C69" s="2"/>
      <c r="D69" s="2"/>
      <c r="E69" s="2"/>
      <c r="F69" s="2"/>
      <c r="G69" s="2"/>
    </row>
    <row r="70" spans="1:7">
      <c r="A70" s="2"/>
      <c r="B70" s="2"/>
      <c r="C70" s="2"/>
      <c r="D70" s="2"/>
      <c r="E70" s="2"/>
      <c r="F70" s="2"/>
      <c r="G70" s="2"/>
    </row>
    <row r="71" spans="1:7">
      <c r="A71" s="2"/>
      <c r="B71" s="2"/>
      <c r="C71" s="2"/>
      <c r="D71" s="2"/>
      <c r="E71" s="2"/>
      <c r="F71" s="2"/>
      <c r="G71" s="2"/>
    </row>
    <row r="72" spans="1:7" ht="15.75">
      <c r="A72" s="2"/>
      <c r="B72" s="2"/>
      <c r="C72" s="15" t="s">
        <v>67</v>
      </c>
      <c r="D72" s="2"/>
      <c r="E72" s="2"/>
      <c r="F72" s="2"/>
      <c r="G72" s="2"/>
    </row>
    <row r="73" spans="1:7">
      <c r="A73" s="2"/>
      <c r="B73" s="2"/>
      <c r="C73" s="2" t="s">
        <v>101</v>
      </c>
      <c r="D73" s="2"/>
      <c r="E73" s="2"/>
      <c r="F73" s="2"/>
      <c r="G73" s="2"/>
    </row>
    <row r="74" spans="1:7">
      <c r="A74" s="2"/>
      <c r="B74" s="2"/>
      <c r="C74" s="2"/>
      <c r="D74" s="2"/>
      <c r="E74" s="2"/>
      <c r="F74" s="2"/>
      <c r="G74" s="2"/>
    </row>
    <row r="75" spans="1:7">
      <c r="A75" s="2"/>
      <c r="B75" s="2"/>
      <c r="C75" s="2"/>
      <c r="D75" s="2"/>
      <c r="E75" s="2"/>
      <c r="F75" s="2"/>
      <c r="G75" s="2"/>
    </row>
    <row r="76" spans="1:7" ht="30">
      <c r="A76" s="2"/>
      <c r="B76" s="2"/>
      <c r="C76" s="20" t="s">
        <v>24</v>
      </c>
      <c r="D76" s="20" t="s">
        <v>23</v>
      </c>
      <c r="E76" s="20" t="s">
        <v>25</v>
      </c>
      <c r="F76" s="20" t="s">
        <v>85</v>
      </c>
      <c r="G76" s="2"/>
    </row>
    <row r="77" spans="1:7">
      <c r="A77" s="2"/>
      <c r="B77" s="2"/>
      <c r="C77" s="25" t="s">
        <v>51</v>
      </c>
      <c r="D77" s="44">
        <f>' Czp - zamówienie podstawowe'!I103/(' Czp - zamówienie podstawowe'!E103+' Czp - zamówienie podstawowe'!G103)</f>
        <v>0</v>
      </c>
      <c r="E77" s="44">
        <v>260000</v>
      </c>
      <c r="F77" s="45">
        <f>D77*E77</f>
        <v>0</v>
      </c>
      <c r="G77" s="2"/>
    </row>
    <row r="78" spans="1:7" ht="60">
      <c r="A78" s="2"/>
      <c r="B78" s="2"/>
      <c r="C78" s="19"/>
      <c r="D78" s="47"/>
      <c r="E78" s="48" t="s">
        <v>104</v>
      </c>
      <c r="F78" s="28"/>
      <c r="G78" s="2"/>
    </row>
    <row r="79" spans="1:7">
      <c r="A79" s="2"/>
      <c r="B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 ht="15.75">
      <c r="C82" s="15" t="s">
        <v>95</v>
      </c>
      <c r="D82" s="2"/>
      <c r="E82" s="2"/>
      <c r="F82" s="2"/>
    </row>
    <row r="83" spans="1:7">
      <c r="C83" s="2" t="s">
        <v>102</v>
      </c>
      <c r="D83" s="2"/>
      <c r="E83" s="2"/>
      <c r="F83" s="2"/>
    </row>
    <row r="84" spans="1:7">
      <c r="C84" s="2"/>
      <c r="D84" s="2"/>
      <c r="E84" s="2"/>
      <c r="F84" s="2"/>
    </row>
    <row r="85" spans="1:7">
      <c r="C85" s="2"/>
      <c r="D85" s="2"/>
      <c r="E85" s="2"/>
      <c r="F85" s="2"/>
    </row>
    <row r="86" spans="1:7" ht="30">
      <c r="C86" s="20" t="s">
        <v>24</v>
      </c>
      <c r="D86" s="20" t="s">
        <v>23</v>
      </c>
      <c r="E86" s="20" t="s">
        <v>25</v>
      </c>
      <c r="F86" s="20" t="s">
        <v>85</v>
      </c>
    </row>
    <row r="87" spans="1:7">
      <c r="C87" s="25" t="s">
        <v>94</v>
      </c>
      <c r="D87" s="44">
        <f>' Czp - zamówienie podstawowe'!G117/' Czp - zamówienie podstawowe'!E117</f>
        <v>0</v>
      </c>
      <c r="E87" s="44">
        <v>44000</v>
      </c>
      <c r="F87" s="45">
        <f>D87*E87</f>
        <v>0</v>
      </c>
    </row>
    <row r="88" spans="1:7" ht="60">
      <c r="C88" s="19"/>
      <c r="D88" s="47"/>
      <c r="E88" s="48" t="s">
        <v>105</v>
      </c>
      <c r="F88" s="28"/>
    </row>
  </sheetData>
  <mergeCells count="1">
    <mergeCell ref="C5:F5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Czp - zamówienie podstawowe</vt:lpstr>
      <vt:lpstr>Co - opcja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ummawr04</dc:creator>
  <cp:lastModifiedBy>Wroński Marcin</cp:lastModifiedBy>
  <cp:lastPrinted>2025-02-10T11:12:50Z</cp:lastPrinted>
  <dcterms:created xsi:type="dcterms:W3CDTF">2023-06-01T13:28:30Z</dcterms:created>
  <dcterms:modified xsi:type="dcterms:W3CDTF">2025-10-20T07:58:54Z</dcterms:modified>
</cp:coreProperties>
</file>