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IT\WTR\wszyscy\ZT\05 Umowy Porozumienia\20 POWTÓRZENIE CZERNICA - ZADANIE 1\"/>
    </mc:Choice>
  </mc:AlternateContent>
  <xr:revisionPtr revIDLastSave="0" documentId="8_{20A5D951-628B-4DF7-AB92-0981E0834BBE}" xr6:coauthVersionLast="36" xr6:coauthVersionMax="36" xr10:uidLastSave="{00000000-0000-0000-0000-000000000000}"/>
  <bookViews>
    <workbookView xWindow="0" yWindow="0" windowWidth="18945" windowHeight="8745" tabRatio="857" firstSheet="6" activeTab="8" xr2:uid="{00000000-000D-0000-FFFF-FFFF00000000}"/>
  </bookViews>
  <sheets>
    <sheet name=" 1A Czp - zamówienie podstawowe" sheetId="2" r:id="rId1"/>
    <sheet name="1A Co - prawo opcji" sheetId="3" r:id="rId2"/>
    <sheet name="1B Czp - zamówienie podstawowe" sheetId="4" r:id="rId3"/>
    <sheet name="1B Co - prawo opcji" sheetId="5" r:id="rId4"/>
    <sheet name="1C Czp - zamówienie podstaw" sheetId="7" r:id="rId5"/>
    <sheet name="1C Co - prawo opcji" sheetId="8" r:id="rId6"/>
    <sheet name="1D Czp - zamówienie podstaw" sheetId="9" r:id="rId7"/>
    <sheet name="1D Co - prawo opcji" sheetId="10" r:id="rId8"/>
    <sheet name="1E Czp - zamówienie podstaw" sheetId="11" r:id="rId9"/>
    <sheet name="1E Co - prawo opcji" sheetId="12" r:id="rId10"/>
  </sheets>
  <calcPr calcId="191029"/>
</workbook>
</file>

<file path=xl/calcChain.xml><?xml version="1.0" encoding="utf-8"?>
<calcChain xmlns="http://schemas.openxmlformats.org/spreadsheetml/2006/main">
  <c r="E19" i="9" l="1"/>
  <c r="E19" i="4"/>
  <c r="E19" i="2"/>
  <c r="G33" i="11" l="1"/>
  <c r="E34" i="11"/>
  <c r="E35" i="11"/>
  <c r="E36" i="11"/>
  <c r="E37" i="11"/>
  <c r="E33" i="11"/>
  <c r="E22" i="11"/>
  <c r="E21" i="11"/>
  <c r="E20" i="11"/>
  <c r="E19" i="11"/>
  <c r="E18" i="11"/>
  <c r="E34" i="9"/>
  <c r="E35" i="9"/>
  <c r="E36" i="9"/>
  <c r="E37" i="9"/>
  <c r="E33" i="9"/>
  <c r="E22" i="9"/>
  <c r="E21" i="9"/>
  <c r="E18" i="9"/>
  <c r="E22" i="7"/>
  <c r="E37" i="7" s="1"/>
  <c r="E21" i="7"/>
  <c r="E36" i="7" s="1"/>
  <c r="E20" i="7"/>
  <c r="E35" i="7" s="1"/>
  <c r="E19" i="7"/>
  <c r="E18" i="7"/>
  <c r="E33" i="7" s="1"/>
  <c r="E34" i="4"/>
  <c r="E35" i="4"/>
  <c r="E36" i="4"/>
  <c r="E37" i="4"/>
  <c r="E33" i="4"/>
  <c r="E21" i="4"/>
  <c r="E20" i="4"/>
  <c r="E18" i="4"/>
  <c r="E34" i="7"/>
  <c r="E75" i="12"/>
  <c r="E64" i="12"/>
  <c r="E53" i="12"/>
  <c r="E42" i="12"/>
  <c r="E31" i="12"/>
  <c r="E20" i="12"/>
  <c r="E75" i="10"/>
  <c r="E64" i="10"/>
  <c r="E53" i="10"/>
  <c r="E42" i="10"/>
  <c r="E31" i="10"/>
  <c r="E20" i="10"/>
  <c r="E75" i="8"/>
  <c r="E64" i="8"/>
  <c r="E53" i="8"/>
  <c r="E42" i="8"/>
  <c r="E31" i="8"/>
  <c r="E20" i="8"/>
  <c r="E75" i="5"/>
  <c r="E64" i="5"/>
  <c r="E53" i="5"/>
  <c r="E42" i="5"/>
  <c r="E31" i="5"/>
  <c r="E20" i="5"/>
  <c r="E75" i="3"/>
  <c r="E64" i="3"/>
  <c r="E53" i="3"/>
  <c r="E42" i="3"/>
  <c r="E31" i="3"/>
  <c r="E20" i="3"/>
  <c r="P21" i="2"/>
  <c r="E34" i="2"/>
  <c r="E35" i="2"/>
  <c r="E36" i="2"/>
  <c r="E37" i="2"/>
  <c r="E33" i="2"/>
  <c r="E20" i="2"/>
  <c r="E21" i="2"/>
  <c r="E18" i="2"/>
  <c r="J11" i="12" l="1"/>
  <c r="I11" i="12"/>
  <c r="H11" i="12"/>
  <c r="G11" i="12"/>
  <c r="F11" i="12"/>
  <c r="E11" i="12"/>
  <c r="K11" i="12" s="1"/>
  <c r="G113" i="11"/>
  <c r="D112" i="11"/>
  <c r="D111" i="11"/>
  <c r="D110" i="11"/>
  <c r="D109" i="11"/>
  <c r="D108" i="11"/>
  <c r="I97" i="11"/>
  <c r="M96" i="11"/>
  <c r="F96" i="11"/>
  <c r="D96" i="11"/>
  <c r="M95" i="11"/>
  <c r="F95" i="11"/>
  <c r="D95" i="11"/>
  <c r="M94" i="11"/>
  <c r="F94" i="11"/>
  <c r="D94" i="11"/>
  <c r="M93" i="11"/>
  <c r="F93" i="11"/>
  <c r="D93" i="11"/>
  <c r="M92" i="11"/>
  <c r="F92" i="11"/>
  <c r="D92" i="11"/>
  <c r="I82" i="11"/>
  <c r="M81" i="11"/>
  <c r="F81" i="11"/>
  <c r="D81" i="11"/>
  <c r="M80" i="11"/>
  <c r="F80" i="11"/>
  <c r="D80" i="11"/>
  <c r="M79" i="11"/>
  <c r="F79" i="11"/>
  <c r="D79" i="11"/>
  <c r="M78" i="11"/>
  <c r="F78" i="11"/>
  <c r="D78" i="11"/>
  <c r="M77" i="11"/>
  <c r="F77" i="11"/>
  <c r="D77" i="11"/>
  <c r="I68" i="11"/>
  <c r="M67" i="11"/>
  <c r="F67" i="11"/>
  <c r="D67" i="11"/>
  <c r="M66" i="11"/>
  <c r="F66" i="11"/>
  <c r="D66" i="11"/>
  <c r="M65" i="11"/>
  <c r="F65" i="11"/>
  <c r="D65" i="11"/>
  <c r="M64" i="11"/>
  <c r="F64" i="11"/>
  <c r="D64" i="11"/>
  <c r="M63" i="11"/>
  <c r="F63" i="11"/>
  <c r="D63" i="11"/>
  <c r="I53" i="11"/>
  <c r="M52" i="11"/>
  <c r="F52" i="11"/>
  <c r="D52" i="11"/>
  <c r="M51" i="11"/>
  <c r="F51" i="11"/>
  <c r="D51" i="11"/>
  <c r="M50" i="11"/>
  <c r="F50" i="11"/>
  <c r="D50" i="11"/>
  <c r="M49" i="11"/>
  <c r="F49" i="11"/>
  <c r="D49" i="11"/>
  <c r="M48" i="11"/>
  <c r="F48" i="11"/>
  <c r="D48" i="11"/>
  <c r="I38" i="11"/>
  <c r="M37" i="11"/>
  <c r="G37" i="11"/>
  <c r="G52" i="11" s="1"/>
  <c r="G67" i="11" s="1"/>
  <c r="G81" i="11" s="1"/>
  <c r="G96" i="11" s="1"/>
  <c r="F37" i="11"/>
  <c r="E52" i="11"/>
  <c r="E67" i="11" s="1"/>
  <c r="D37" i="11"/>
  <c r="M36" i="11"/>
  <c r="H36" i="11"/>
  <c r="G36" i="11"/>
  <c r="G51" i="11" s="1"/>
  <c r="G66" i="11" s="1"/>
  <c r="G80" i="11" s="1"/>
  <c r="G95" i="11" s="1"/>
  <c r="F36" i="11"/>
  <c r="E51" i="11"/>
  <c r="D36" i="11"/>
  <c r="M35" i="11"/>
  <c r="G35" i="11"/>
  <c r="G50" i="11" s="1"/>
  <c r="G65" i="11" s="1"/>
  <c r="G79" i="11" s="1"/>
  <c r="G94" i="11" s="1"/>
  <c r="F35" i="11"/>
  <c r="E50" i="11"/>
  <c r="D35" i="11"/>
  <c r="M34" i="11"/>
  <c r="G34" i="11"/>
  <c r="G49" i="11" s="1"/>
  <c r="G64" i="11" s="1"/>
  <c r="G78" i="11" s="1"/>
  <c r="G93" i="11" s="1"/>
  <c r="F34" i="11"/>
  <c r="E49" i="11"/>
  <c r="E64" i="11" s="1"/>
  <c r="E78" i="11" s="1"/>
  <c r="E93" i="11" s="1"/>
  <c r="D34" i="11"/>
  <c r="M33" i="11"/>
  <c r="G48" i="11"/>
  <c r="F33" i="11"/>
  <c r="E48" i="11"/>
  <c r="D33" i="11"/>
  <c r="E23" i="11"/>
  <c r="K22" i="11"/>
  <c r="D22" i="11"/>
  <c r="F22" i="11" s="1"/>
  <c r="G22" i="11" s="1"/>
  <c r="P21" i="11"/>
  <c r="P22" i="11" s="1"/>
  <c r="K21" i="11"/>
  <c r="D21" i="11"/>
  <c r="F21" i="11" s="1"/>
  <c r="G21" i="11" s="1"/>
  <c r="K20" i="11"/>
  <c r="F20" i="11"/>
  <c r="G20" i="11" s="1"/>
  <c r="D20" i="11"/>
  <c r="K19" i="11"/>
  <c r="D19" i="11"/>
  <c r="F19" i="11" s="1"/>
  <c r="G19" i="11" s="1"/>
  <c r="K18" i="11"/>
  <c r="F18" i="11"/>
  <c r="G18" i="11" s="1"/>
  <c r="D18" i="11"/>
  <c r="I11" i="11"/>
  <c r="H11" i="11"/>
  <c r="G11" i="11"/>
  <c r="F11" i="11"/>
  <c r="E11" i="11"/>
  <c r="D11" i="11"/>
  <c r="J11" i="10"/>
  <c r="I11" i="10"/>
  <c r="H11" i="10"/>
  <c r="G11" i="10"/>
  <c r="F11" i="10"/>
  <c r="E11" i="10"/>
  <c r="K11" i="10" s="1"/>
  <c r="G113" i="9"/>
  <c r="D112" i="9"/>
  <c r="D111" i="9"/>
  <c r="D110" i="9"/>
  <c r="D109" i="9"/>
  <c r="D108" i="9"/>
  <c r="I97" i="9"/>
  <c r="M96" i="9"/>
  <c r="F96" i="9"/>
  <c r="D96" i="9"/>
  <c r="M95" i="9"/>
  <c r="F95" i="9"/>
  <c r="D95" i="9"/>
  <c r="M94" i="9"/>
  <c r="F94" i="9"/>
  <c r="D94" i="9"/>
  <c r="M93" i="9"/>
  <c r="F93" i="9"/>
  <c r="D93" i="9"/>
  <c r="M92" i="9"/>
  <c r="F92" i="9"/>
  <c r="D92" i="9"/>
  <c r="I82" i="9"/>
  <c r="M81" i="9"/>
  <c r="F81" i="9"/>
  <c r="D81" i="9"/>
  <c r="M80" i="9"/>
  <c r="F80" i="9"/>
  <c r="D80" i="9"/>
  <c r="M79" i="9"/>
  <c r="F79" i="9"/>
  <c r="D79" i="9"/>
  <c r="M78" i="9"/>
  <c r="F78" i="9"/>
  <c r="D78" i="9"/>
  <c r="M77" i="9"/>
  <c r="F77" i="9"/>
  <c r="D77" i="9"/>
  <c r="I68" i="9"/>
  <c r="M67" i="9"/>
  <c r="F67" i="9"/>
  <c r="D67" i="9"/>
  <c r="M66" i="9"/>
  <c r="F66" i="9"/>
  <c r="D66" i="9"/>
  <c r="M65" i="9"/>
  <c r="F65" i="9"/>
  <c r="D65" i="9"/>
  <c r="M64" i="9"/>
  <c r="F64" i="9"/>
  <c r="D64" i="9"/>
  <c r="M63" i="9"/>
  <c r="F63" i="9"/>
  <c r="D63" i="9"/>
  <c r="I53" i="9"/>
  <c r="M52" i="9"/>
  <c r="F52" i="9"/>
  <c r="D52" i="9"/>
  <c r="M51" i="9"/>
  <c r="F51" i="9"/>
  <c r="D51" i="9"/>
  <c r="M50" i="9"/>
  <c r="F50" i="9"/>
  <c r="E50" i="9"/>
  <c r="E65" i="9" s="1"/>
  <c r="E79" i="9" s="1"/>
  <c r="E94" i="9" s="1"/>
  <c r="E110" i="9" s="1"/>
  <c r="F110" i="9" s="1"/>
  <c r="D50" i="9"/>
  <c r="M49" i="9"/>
  <c r="F49" i="9"/>
  <c r="D49" i="9"/>
  <c r="M48" i="9"/>
  <c r="F48" i="9"/>
  <c r="D48" i="9"/>
  <c r="I38" i="9"/>
  <c r="M37" i="9"/>
  <c r="G37" i="9"/>
  <c r="G52" i="9" s="1"/>
  <c r="G67" i="9" s="1"/>
  <c r="G81" i="9" s="1"/>
  <c r="G96" i="9" s="1"/>
  <c r="F37" i="9"/>
  <c r="E52" i="9"/>
  <c r="D37" i="9"/>
  <c r="M36" i="9"/>
  <c r="G36" i="9"/>
  <c r="G51" i="9" s="1"/>
  <c r="G66" i="9" s="1"/>
  <c r="G80" i="9" s="1"/>
  <c r="G95" i="9" s="1"/>
  <c r="F36" i="9"/>
  <c r="E51" i="9"/>
  <c r="D36" i="9"/>
  <c r="M35" i="9"/>
  <c r="G35" i="9"/>
  <c r="G50" i="9" s="1"/>
  <c r="G65" i="9" s="1"/>
  <c r="G79" i="9" s="1"/>
  <c r="G94" i="9" s="1"/>
  <c r="F35" i="9"/>
  <c r="D35" i="9"/>
  <c r="M34" i="9"/>
  <c r="G34" i="9"/>
  <c r="G49" i="9" s="1"/>
  <c r="G64" i="9" s="1"/>
  <c r="G78" i="9" s="1"/>
  <c r="G93" i="9" s="1"/>
  <c r="F34" i="9"/>
  <c r="E49" i="9"/>
  <c r="E64" i="9" s="1"/>
  <c r="E78" i="9" s="1"/>
  <c r="D34" i="9"/>
  <c r="M33" i="9"/>
  <c r="G33" i="9"/>
  <c r="G48" i="9" s="1"/>
  <c r="F33" i="9"/>
  <c r="E48" i="9"/>
  <c r="D33" i="9"/>
  <c r="E23" i="9"/>
  <c r="E38" i="9" s="1"/>
  <c r="K22" i="9"/>
  <c r="D22" i="9"/>
  <c r="F22" i="9" s="1"/>
  <c r="G22" i="9" s="1"/>
  <c r="P21" i="9"/>
  <c r="P22" i="9" s="1"/>
  <c r="K21" i="9"/>
  <c r="D21" i="9"/>
  <c r="F21" i="9" s="1"/>
  <c r="G21" i="9" s="1"/>
  <c r="K20" i="9"/>
  <c r="G20" i="9"/>
  <c r="F20" i="9"/>
  <c r="D20" i="9"/>
  <c r="K19" i="9"/>
  <c r="F19" i="9"/>
  <c r="G19" i="9" s="1"/>
  <c r="D19" i="9"/>
  <c r="K18" i="9"/>
  <c r="F18" i="9"/>
  <c r="G18" i="9" s="1"/>
  <c r="D18" i="9"/>
  <c r="I11" i="9"/>
  <c r="H11" i="9"/>
  <c r="G11" i="9"/>
  <c r="F11" i="9"/>
  <c r="E11" i="9"/>
  <c r="D11" i="9"/>
  <c r="J11" i="8"/>
  <c r="I11" i="8"/>
  <c r="H11" i="8"/>
  <c r="G11" i="8"/>
  <c r="F11" i="8"/>
  <c r="E11" i="8"/>
  <c r="K11" i="8" s="1"/>
  <c r="G113" i="7"/>
  <c r="D112" i="7"/>
  <c r="D111" i="7"/>
  <c r="D110" i="7"/>
  <c r="D109" i="7"/>
  <c r="D108" i="7"/>
  <c r="I97" i="7"/>
  <c r="M96" i="7"/>
  <c r="F96" i="7"/>
  <c r="D96" i="7"/>
  <c r="M95" i="7"/>
  <c r="F95" i="7"/>
  <c r="D95" i="7"/>
  <c r="M94" i="7"/>
  <c r="F94" i="7"/>
  <c r="D94" i="7"/>
  <c r="M93" i="7"/>
  <c r="F93" i="7"/>
  <c r="D93" i="7"/>
  <c r="M92" i="7"/>
  <c r="F92" i="7"/>
  <c r="D92" i="7"/>
  <c r="I82" i="7"/>
  <c r="M81" i="7"/>
  <c r="F81" i="7"/>
  <c r="D81" i="7"/>
  <c r="M80" i="7"/>
  <c r="F80" i="7"/>
  <c r="D80" i="7"/>
  <c r="M79" i="7"/>
  <c r="F79" i="7"/>
  <c r="D79" i="7"/>
  <c r="M78" i="7"/>
  <c r="F78" i="7"/>
  <c r="D78" i="7"/>
  <c r="M77" i="7"/>
  <c r="F77" i="7"/>
  <c r="D77" i="7"/>
  <c r="I68" i="7"/>
  <c r="M67" i="7"/>
  <c r="F67" i="7"/>
  <c r="D67" i="7"/>
  <c r="M66" i="7"/>
  <c r="F66" i="7"/>
  <c r="D66" i="7"/>
  <c r="M65" i="7"/>
  <c r="F65" i="7"/>
  <c r="D65" i="7"/>
  <c r="M64" i="7"/>
  <c r="F64" i="7"/>
  <c r="D64" i="7"/>
  <c r="M63" i="7"/>
  <c r="F63" i="7"/>
  <c r="D63" i="7"/>
  <c r="I53" i="7"/>
  <c r="M52" i="7"/>
  <c r="F52" i="7"/>
  <c r="D52" i="7"/>
  <c r="M51" i="7"/>
  <c r="F51" i="7"/>
  <c r="D51" i="7"/>
  <c r="M50" i="7"/>
  <c r="F50" i="7"/>
  <c r="E50" i="7"/>
  <c r="E65" i="7" s="1"/>
  <c r="E79" i="7" s="1"/>
  <c r="E94" i="7" s="1"/>
  <c r="D50" i="7"/>
  <c r="M49" i="7"/>
  <c r="F49" i="7"/>
  <c r="D49" i="7"/>
  <c r="M48" i="7"/>
  <c r="F48" i="7"/>
  <c r="D48" i="7"/>
  <c r="I38" i="7"/>
  <c r="M37" i="7"/>
  <c r="G37" i="7"/>
  <c r="G52" i="7" s="1"/>
  <c r="G67" i="7" s="1"/>
  <c r="G81" i="7" s="1"/>
  <c r="G96" i="7" s="1"/>
  <c r="F37" i="7"/>
  <c r="E52" i="7"/>
  <c r="D37" i="7"/>
  <c r="M36" i="7"/>
  <c r="G36" i="7"/>
  <c r="H36" i="7" s="1"/>
  <c r="F36" i="7"/>
  <c r="E51" i="7"/>
  <c r="E66" i="7" s="1"/>
  <c r="D36" i="7"/>
  <c r="M35" i="7"/>
  <c r="G35" i="7"/>
  <c r="G50" i="7" s="1"/>
  <c r="G65" i="7" s="1"/>
  <c r="G79" i="7" s="1"/>
  <c r="G94" i="7" s="1"/>
  <c r="F35" i="7"/>
  <c r="D35" i="7"/>
  <c r="M34" i="7"/>
  <c r="G34" i="7"/>
  <c r="G49" i="7" s="1"/>
  <c r="G64" i="7" s="1"/>
  <c r="G78" i="7" s="1"/>
  <c r="G93" i="7" s="1"/>
  <c r="F34" i="7"/>
  <c r="E49" i="7"/>
  <c r="E64" i="7" s="1"/>
  <c r="E78" i="7" s="1"/>
  <c r="D34" i="7"/>
  <c r="M33" i="7"/>
  <c r="G33" i="7"/>
  <c r="G48" i="7" s="1"/>
  <c r="F33" i="7"/>
  <c r="E48" i="7"/>
  <c r="D33" i="7"/>
  <c r="E23" i="7"/>
  <c r="K22" i="7"/>
  <c r="F22" i="7"/>
  <c r="G22" i="7" s="1"/>
  <c r="D22" i="7"/>
  <c r="P21" i="7"/>
  <c r="P23" i="7" s="1"/>
  <c r="K21" i="7"/>
  <c r="D21" i="7"/>
  <c r="F21" i="7" s="1"/>
  <c r="G21" i="7" s="1"/>
  <c r="K20" i="7"/>
  <c r="F20" i="7"/>
  <c r="G20" i="7" s="1"/>
  <c r="D20" i="7"/>
  <c r="K19" i="7"/>
  <c r="F19" i="7"/>
  <c r="G19" i="7" s="1"/>
  <c r="D19" i="7"/>
  <c r="K18" i="7"/>
  <c r="F18" i="7"/>
  <c r="G18" i="7" s="1"/>
  <c r="D18" i="7"/>
  <c r="I11" i="7"/>
  <c r="H11" i="7"/>
  <c r="G11" i="7"/>
  <c r="F11" i="7"/>
  <c r="E11" i="7"/>
  <c r="D11" i="7"/>
  <c r="J11" i="5"/>
  <c r="I11" i="5"/>
  <c r="H11" i="5"/>
  <c r="K11" i="5" s="1"/>
  <c r="G11" i="5"/>
  <c r="F11" i="5"/>
  <c r="E11" i="5"/>
  <c r="G113" i="4"/>
  <c r="D112" i="4"/>
  <c r="D111" i="4"/>
  <c r="D110" i="4"/>
  <c r="D109" i="4"/>
  <c r="D108" i="4"/>
  <c r="I97" i="4"/>
  <c r="H11" i="4" s="1"/>
  <c r="M96" i="4"/>
  <c r="F96" i="4"/>
  <c r="D96" i="4"/>
  <c r="M95" i="4"/>
  <c r="F95" i="4"/>
  <c r="D95" i="4"/>
  <c r="M94" i="4"/>
  <c r="F94" i="4"/>
  <c r="D94" i="4"/>
  <c r="M93" i="4"/>
  <c r="F93" i="4"/>
  <c r="D93" i="4"/>
  <c r="M92" i="4"/>
  <c r="F92" i="4"/>
  <c r="D92" i="4"/>
  <c r="I82" i="4"/>
  <c r="M81" i="4"/>
  <c r="F81" i="4"/>
  <c r="D81" i="4"/>
  <c r="M80" i="4"/>
  <c r="F80" i="4"/>
  <c r="D80" i="4"/>
  <c r="M79" i="4"/>
  <c r="F79" i="4"/>
  <c r="D79" i="4"/>
  <c r="M78" i="4"/>
  <c r="F78" i="4"/>
  <c r="D78" i="4"/>
  <c r="M77" i="4"/>
  <c r="F77" i="4"/>
  <c r="D77" i="4"/>
  <c r="I68" i="4"/>
  <c r="F11" i="4" s="1"/>
  <c r="M67" i="4"/>
  <c r="F67" i="4"/>
  <c r="D67" i="4"/>
  <c r="M66" i="4"/>
  <c r="F66" i="4"/>
  <c r="D66" i="4"/>
  <c r="M65" i="4"/>
  <c r="F65" i="4"/>
  <c r="D65" i="4"/>
  <c r="M64" i="4"/>
  <c r="F64" i="4"/>
  <c r="D64" i="4"/>
  <c r="M63" i="4"/>
  <c r="F63" i="4"/>
  <c r="D63" i="4"/>
  <c r="I53" i="4"/>
  <c r="E11" i="4" s="1"/>
  <c r="M52" i="4"/>
  <c r="F52" i="4"/>
  <c r="D52" i="4"/>
  <c r="M51" i="4"/>
  <c r="F51" i="4"/>
  <c r="E51" i="4"/>
  <c r="D51" i="4"/>
  <c r="M50" i="4"/>
  <c r="F50" i="4"/>
  <c r="D50" i="4"/>
  <c r="M49" i="4"/>
  <c r="F49" i="4"/>
  <c r="D49" i="4"/>
  <c r="M48" i="4"/>
  <c r="F48" i="4"/>
  <c r="D48" i="4"/>
  <c r="I38" i="4"/>
  <c r="M37" i="4"/>
  <c r="G37" i="4"/>
  <c r="G52" i="4" s="1"/>
  <c r="G67" i="4" s="1"/>
  <c r="G81" i="4" s="1"/>
  <c r="G96" i="4" s="1"/>
  <c r="F37" i="4"/>
  <c r="E52" i="4"/>
  <c r="E67" i="4" s="1"/>
  <c r="E81" i="4" s="1"/>
  <c r="D37" i="4"/>
  <c r="M36" i="4"/>
  <c r="G36" i="4"/>
  <c r="G51" i="4" s="1"/>
  <c r="G66" i="4" s="1"/>
  <c r="G80" i="4" s="1"/>
  <c r="G95" i="4" s="1"/>
  <c r="F36" i="4"/>
  <c r="D36" i="4"/>
  <c r="H36" i="4" s="1"/>
  <c r="M35" i="4"/>
  <c r="G35" i="4"/>
  <c r="G50" i="4" s="1"/>
  <c r="G65" i="4" s="1"/>
  <c r="G79" i="4" s="1"/>
  <c r="G94" i="4" s="1"/>
  <c r="F35" i="4"/>
  <c r="E50" i="4"/>
  <c r="D35" i="4"/>
  <c r="M34" i="4"/>
  <c r="G34" i="4"/>
  <c r="G49" i="4" s="1"/>
  <c r="G64" i="4" s="1"/>
  <c r="G78" i="4" s="1"/>
  <c r="G93" i="4" s="1"/>
  <c r="F34" i="4"/>
  <c r="D34" i="4"/>
  <c r="M33" i="4"/>
  <c r="G33" i="4"/>
  <c r="G48" i="4" s="1"/>
  <c r="F33" i="4"/>
  <c r="E48" i="4"/>
  <c r="D33" i="4"/>
  <c r="E23" i="4"/>
  <c r="K22" i="4"/>
  <c r="D22" i="4"/>
  <c r="F22" i="4" s="1"/>
  <c r="G22" i="4" s="1"/>
  <c r="P21" i="4"/>
  <c r="P22" i="4" s="1"/>
  <c r="K21" i="4"/>
  <c r="D21" i="4"/>
  <c r="F21" i="4" s="1"/>
  <c r="G21" i="4" s="1"/>
  <c r="K20" i="4"/>
  <c r="D20" i="4"/>
  <c r="F20" i="4" s="1"/>
  <c r="G20" i="4" s="1"/>
  <c r="K19" i="4"/>
  <c r="D19" i="4"/>
  <c r="F19" i="4" s="1"/>
  <c r="G19" i="4" s="1"/>
  <c r="K18" i="4"/>
  <c r="D18" i="4"/>
  <c r="F18" i="4" s="1"/>
  <c r="G18" i="4" s="1"/>
  <c r="G23" i="4" s="1"/>
  <c r="C11" i="4" s="1"/>
  <c r="J11" i="4" s="1"/>
  <c r="I11" i="4"/>
  <c r="G11" i="4"/>
  <c r="D11" i="4"/>
  <c r="H34" i="4" l="1"/>
  <c r="P24" i="4"/>
  <c r="H37" i="11"/>
  <c r="H35" i="11"/>
  <c r="H34" i="11"/>
  <c r="H33" i="11"/>
  <c r="E38" i="11"/>
  <c r="H48" i="11"/>
  <c r="H37" i="9"/>
  <c r="H36" i="9"/>
  <c r="H94" i="9"/>
  <c r="H50" i="9"/>
  <c r="H79" i="9"/>
  <c r="G23" i="9"/>
  <c r="C11" i="9" s="1"/>
  <c r="J11" i="9" s="1"/>
  <c r="H34" i="9"/>
  <c r="P24" i="9"/>
  <c r="H33" i="9"/>
  <c r="G38" i="9"/>
  <c r="H37" i="7"/>
  <c r="H35" i="7"/>
  <c r="H33" i="7"/>
  <c r="P20" i="4"/>
  <c r="H48" i="4"/>
  <c r="H35" i="4"/>
  <c r="G51" i="7"/>
  <c r="G66" i="7" s="1"/>
  <c r="G80" i="7" s="1"/>
  <c r="G95" i="7" s="1"/>
  <c r="H50" i="7"/>
  <c r="H65" i="7"/>
  <c r="H79" i="7"/>
  <c r="H64" i="7"/>
  <c r="G23" i="7"/>
  <c r="C11" i="7" s="1"/>
  <c r="J11" i="7" s="1"/>
  <c r="H34" i="7"/>
  <c r="E38" i="7"/>
  <c r="H93" i="11"/>
  <c r="E109" i="11"/>
  <c r="F109" i="11" s="1"/>
  <c r="E81" i="11"/>
  <c r="E96" i="11" s="1"/>
  <c r="H67" i="11"/>
  <c r="H49" i="11"/>
  <c r="E66" i="11"/>
  <c r="H51" i="11"/>
  <c r="E63" i="11"/>
  <c r="E53" i="11"/>
  <c r="H64" i="11"/>
  <c r="H78" i="11"/>
  <c r="H52" i="11"/>
  <c r="G23" i="11"/>
  <c r="C11" i="11" s="1"/>
  <c r="J11" i="11" s="1"/>
  <c r="G63" i="11"/>
  <c r="G53" i="11"/>
  <c r="H50" i="11"/>
  <c r="P23" i="11"/>
  <c r="P24" i="11"/>
  <c r="G38" i="11"/>
  <c r="E65" i="11"/>
  <c r="E79" i="11" s="1"/>
  <c r="E94" i="11" s="1"/>
  <c r="E110" i="11" s="1"/>
  <c r="F110" i="11" s="1"/>
  <c r="P20" i="11"/>
  <c r="H52" i="9"/>
  <c r="E67" i="9"/>
  <c r="H49" i="9"/>
  <c r="E66" i="9"/>
  <c r="H51" i="9"/>
  <c r="H48" i="9"/>
  <c r="E63" i="9"/>
  <c r="E53" i="9"/>
  <c r="H64" i="9"/>
  <c r="H78" i="9"/>
  <c r="E93" i="9"/>
  <c r="G63" i="9"/>
  <c r="G53" i="9"/>
  <c r="H65" i="9"/>
  <c r="P23" i="9"/>
  <c r="H35" i="9"/>
  <c r="P20" i="9"/>
  <c r="H78" i="7"/>
  <c r="E93" i="7"/>
  <c r="H52" i="7"/>
  <c r="E67" i="7"/>
  <c r="H49" i="7"/>
  <c r="E80" i="7"/>
  <c r="E95" i="7" s="1"/>
  <c r="E111" i="7" s="1"/>
  <c r="F111" i="7" s="1"/>
  <c r="H48" i="7"/>
  <c r="E63" i="7"/>
  <c r="E53" i="7"/>
  <c r="G63" i="7"/>
  <c r="E110" i="7"/>
  <c r="F110" i="7" s="1"/>
  <c r="H94" i="7"/>
  <c r="P24" i="7"/>
  <c r="G38" i="7"/>
  <c r="P20" i="7"/>
  <c r="P22" i="7"/>
  <c r="H50" i="4"/>
  <c r="E65" i="4"/>
  <c r="G53" i="4"/>
  <c r="H81" i="4"/>
  <c r="E96" i="4"/>
  <c r="E112" i="4" s="1"/>
  <c r="F112" i="4" s="1"/>
  <c r="H51" i="4"/>
  <c r="H52" i="4"/>
  <c r="E63" i="4"/>
  <c r="H67" i="4"/>
  <c r="H33" i="4"/>
  <c r="H37" i="4"/>
  <c r="G63" i="4"/>
  <c r="E66" i="4"/>
  <c r="E80" i="4" s="1"/>
  <c r="P23" i="4"/>
  <c r="E38" i="4"/>
  <c r="G38" i="4"/>
  <c r="E49" i="4"/>
  <c r="E64" i="4" s="1"/>
  <c r="K11" i="3"/>
  <c r="J11" i="3"/>
  <c r="H11" i="2"/>
  <c r="I11" i="2"/>
  <c r="D108" i="2"/>
  <c r="D93" i="2"/>
  <c r="D94" i="2"/>
  <c r="D95" i="2"/>
  <c r="D96" i="2"/>
  <c r="D92" i="2"/>
  <c r="D77" i="2"/>
  <c r="D63" i="2"/>
  <c r="D78" i="2"/>
  <c r="D79" i="2"/>
  <c r="D80" i="2"/>
  <c r="D81" i="2"/>
  <c r="D67" i="2"/>
  <c r="D66" i="2"/>
  <c r="D65" i="2"/>
  <c r="D64" i="2"/>
  <c r="E52" i="2"/>
  <c r="E67" i="2" s="1"/>
  <c r="D49" i="2"/>
  <c r="D50" i="2"/>
  <c r="D51" i="2"/>
  <c r="D52" i="2"/>
  <c r="D48" i="2"/>
  <c r="H36" i="2"/>
  <c r="H37" i="2"/>
  <c r="F33" i="2"/>
  <c r="D34" i="2"/>
  <c r="D35" i="2"/>
  <c r="D36" i="2"/>
  <c r="D37" i="2"/>
  <c r="D33" i="2"/>
  <c r="G34" i="2"/>
  <c r="G49" i="2" s="1"/>
  <c r="G64" i="2" s="1"/>
  <c r="G35" i="2"/>
  <c r="H35" i="2" s="1"/>
  <c r="G36" i="2"/>
  <c r="G51" i="2" s="1"/>
  <c r="G66" i="2" s="1"/>
  <c r="G80" i="2" s="1"/>
  <c r="G95" i="2" s="1"/>
  <c r="G37" i="2"/>
  <c r="G52" i="2" s="1"/>
  <c r="G67" i="2" s="1"/>
  <c r="G81" i="2" s="1"/>
  <c r="G96" i="2" s="1"/>
  <c r="G33" i="2"/>
  <c r="G48" i="2" s="1"/>
  <c r="G63" i="2" s="1"/>
  <c r="G77" i="2" s="1"/>
  <c r="G92" i="2" s="1"/>
  <c r="H34" i="2"/>
  <c r="E50" i="2"/>
  <c r="E65" i="2" s="1"/>
  <c r="E79" i="2" s="1"/>
  <c r="E51" i="2"/>
  <c r="H33" i="2"/>
  <c r="D110" i="2"/>
  <c r="D111" i="2"/>
  <c r="D112" i="2"/>
  <c r="D109" i="2"/>
  <c r="G113" i="2"/>
  <c r="H81" i="11" l="1"/>
  <c r="H51" i="7"/>
  <c r="H66" i="7"/>
  <c r="E53" i="4"/>
  <c r="H96" i="4"/>
  <c r="H49" i="4"/>
  <c r="G53" i="7"/>
  <c r="H95" i="7"/>
  <c r="G50" i="2"/>
  <c r="G65" i="2" s="1"/>
  <c r="G79" i="2" s="1"/>
  <c r="G94" i="2" s="1"/>
  <c r="E81" i="2"/>
  <c r="H67" i="2"/>
  <c r="H52" i="2"/>
  <c r="E66" i="2"/>
  <c r="H51" i="2"/>
  <c r="E94" i="2"/>
  <c r="G78" i="2"/>
  <c r="G93" i="2" s="1"/>
  <c r="E49" i="2"/>
  <c r="E38" i="2"/>
  <c r="E48" i="2"/>
  <c r="E63" i="2" s="1"/>
  <c r="E77" i="11"/>
  <c r="H63" i="11"/>
  <c r="E68" i="11"/>
  <c r="E112" i="11"/>
  <c r="F112" i="11" s="1"/>
  <c r="H96" i="11"/>
  <c r="E80" i="11"/>
  <c r="H66" i="11"/>
  <c r="G77" i="11"/>
  <c r="G68" i="11"/>
  <c r="H79" i="11"/>
  <c r="H94" i="11"/>
  <c r="H65" i="11"/>
  <c r="G68" i="9"/>
  <c r="G77" i="9"/>
  <c r="E77" i="9"/>
  <c r="E68" i="9"/>
  <c r="H63" i="9"/>
  <c r="E109" i="9"/>
  <c r="F109" i="9" s="1"/>
  <c r="H93" i="9"/>
  <c r="H66" i="9"/>
  <c r="E80" i="9"/>
  <c r="E81" i="9"/>
  <c r="H67" i="9"/>
  <c r="H67" i="7"/>
  <c r="E81" i="7"/>
  <c r="E77" i="7"/>
  <c r="H63" i="7"/>
  <c r="E68" i="7"/>
  <c r="G77" i="7"/>
  <c r="G68" i="7"/>
  <c r="H93" i="7"/>
  <c r="E109" i="7"/>
  <c r="F109" i="7" s="1"/>
  <c r="H80" i="7"/>
  <c r="E68" i="4"/>
  <c r="E77" i="4"/>
  <c r="H66" i="4"/>
  <c r="H80" i="4"/>
  <c r="E95" i="4"/>
  <c r="G68" i="4"/>
  <c r="G77" i="4"/>
  <c r="H63" i="4"/>
  <c r="E78" i="4"/>
  <c r="H64" i="4"/>
  <c r="H65" i="4"/>
  <c r="E79" i="4"/>
  <c r="H50" i="2"/>
  <c r="H65" i="2" l="1"/>
  <c r="E96" i="2"/>
  <c r="H81" i="2"/>
  <c r="H66" i="2"/>
  <c r="E80" i="2"/>
  <c r="H79" i="2"/>
  <c r="E110" i="2"/>
  <c r="F110" i="2" s="1"/>
  <c r="H94" i="2"/>
  <c r="H49" i="2"/>
  <c r="E64" i="2"/>
  <c r="E53" i="2"/>
  <c r="H48" i="2"/>
  <c r="E77" i="2"/>
  <c r="H63" i="2"/>
  <c r="G82" i="11"/>
  <c r="G92" i="11"/>
  <c r="G97" i="11" s="1"/>
  <c r="E92" i="11"/>
  <c r="E82" i="11"/>
  <c r="H77" i="11"/>
  <c r="H80" i="11"/>
  <c r="E95" i="11"/>
  <c r="E95" i="9"/>
  <c r="H80" i="9"/>
  <c r="E92" i="9"/>
  <c r="H77" i="9"/>
  <c r="E82" i="9"/>
  <c r="E96" i="9"/>
  <c r="H81" i="9"/>
  <c r="G92" i="9"/>
  <c r="G97" i="9" s="1"/>
  <c r="G82" i="9"/>
  <c r="G82" i="7"/>
  <c r="G92" i="7"/>
  <c r="G97" i="7" s="1"/>
  <c r="E92" i="7"/>
  <c r="E82" i="7"/>
  <c r="H77" i="7"/>
  <c r="E96" i="7"/>
  <c r="H81" i="7"/>
  <c r="H95" i="4"/>
  <c r="E111" i="4"/>
  <c r="F111" i="4" s="1"/>
  <c r="E94" i="4"/>
  <c r="H79" i="4"/>
  <c r="E82" i="4"/>
  <c r="H77" i="4"/>
  <c r="E92" i="4"/>
  <c r="G82" i="4"/>
  <c r="G92" i="4"/>
  <c r="G97" i="4" s="1"/>
  <c r="E93" i="4"/>
  <c r="H78" i="4"/>
  <c r="K18" i="2"/>
  <c r="I11" i="3"/>
  <c r="H11" i="3"/>
  <c r="G11" i="3"/>
  <c r="F11" i="3"/>
  <c r="E11" i="3"/>
  <c r="E112" i="2" l="1"/>
  <c r="F112" i="2" s="1"/>
  <c r="H96" i="2"/>
  <c r="H80" i="2"/>
  <c r="E95" i="2"/>
  <c r="E78" i="2"/>
  <c r="E82" i="2" s="1"/>
  <c r="H64" i="2"/>
  <c r="E68" i="2"/>
  <c r="E92" i="2"/>
  <c r="H77" i="2"/>
  <c r="E111" i="11"/>
  <c r="F111" i="11" s="1"/>
  <c r="H95" i="11"/>
  <c r="E97" i="11"/>
  <c r="H92" i="11"/>
  <c r="E108" i="11"/>
  <c r="E111" i="9"/>
  <c r="F111" i="9" s="1"/>
  <c r="H95" i="9"/>
  <c r="E97" i="9"/>
  <c r="H92" i="9"/>
  <c r="E108" i="9"/>
  <c r="E112" i="9"/>
  <c r="F112" i="9" s="1"/>
  <c r="H96" i="9"/>
  <c r="E112" i="7"/>
  <c r="F112" i="7" s="1"/>
  <c r="H96" i="7"/>
  <c r="E108" i="7"/>
  <c r="E97" i="7"/>
  <c r="H92" i="7"/>
  <c r="E97" i="4"/>
  <c r="E108" i="4"/>
  <c r="H92" i="4"/>
  <c r="E110" i="4"/>
  <c r="F110" i="4" s="1"/>
  <c r="H94" i="4"/>
  <c r="E109" i="4"/>
  <c r="F109" i="4" s="1"/>
  <c r="H93" i="4"/>
  <c r="M94" i="2"/>
  <c r="M95" i="2"/>
  <c r="M96" i="2"/>
  <c r="M92" i="2"/>
  <c r="M79" i="2"/>
  <c r="M80" i="2"/>
  <c r="M81" i="2"/>
  <c r="M77" i="2"/>
  <c r="M48" i="2"/>
  <c r="M63" i="2"/>
  <c r="M65" i="2"/>
  <c r="M66" i="2"/>
  <c r="M67" i="2"/>
  <c r="M50" i="2"/>
  <c r="M51" i="2"/>
  <c r="M52" i="2"/>
  <c r="K22" i="2"/>
  <c r="K21" i="2"/>
  <c r="K20" i="2"/>
  <c r="M35" i="2" s="1"/>
  <c r="K19" i="2"/>
  <c r="E111" i="2" l="1"/>
  <c r="F111" i="2" s="1"/>
  <c r="H95" i="2"/>
  <c r="E93" i="2"/>
  <c r="H78" i="2"/>
  <c r="E108" i="2"/>
  <c r="H92" i="2"/>
  <c r="E113" i="11"/>
  <c r="F108" i="11"/>
  <c r="E113" i="9"/>
  <c r="F108" i="9"/>
  <c r="E113" i="7"/>
  <c r="F108" i="7"/>
  <c r="E113" i="4"/>
  <c r="F108" i="4"/>
  <c r="M78" i="2"/>
  <c r="G97" i="2"/>
  <c r="G82" i="2"/>
  <c r="D53" i="12" s="1"/>
  <c r="F53" i="12" s="1"/>
  <c r="G68" i="2"/>
  <c r="G53" i="2"/>
  <c r="G38" i="2"/>
  <c r="E23" i="2"/>
  <c r="I38" i="2"/>
  <c r="D11" i="2" s="1"/>
  <c r="I53" i="2"/>
  <c r="E11" i="2" s="1"/>
  <c r="I68" i="2"/>
  <c r="F11" i="2" s="1"/>
  <c r="I82" i="2"/>
  <c r="G11" i="2" s="1"/>
  <c r="I97" i="2"/>
  <c r="M93" i="2"/>
  <c r="M64" i="2"/>
  <c r="M49" i="2"/>
  <c r="M37" i="2"/>
  <c r="F96" i="2"/>
  <c r="F95" i="2"/>
  <c r="F94" i="2"/>
  <c r="F93" i="2"/>
  <c r="F92" i="2"/>
  <c r="F81" i="2"/>
  <c r="F80" i="2"/>
  <c r="F79" i="2"/>
  <c r="F78" i="2"/>
  <c r="F77" i="2"/>
  <c r="F67" i="2"/>
  <c r="F66" i="2"/>
  <c r="F65" i="2"/>
  <c r="F64" i="2"/>
  <c r="F63" i="2"/>
  <c r="F52" i="2"/>
  <c r="F51" i="2"/>
  <c r="F50" i="2"/>
  <c r="F49" i="2"/>
  <c r="F48" i="2"/>
  <c r="F37" i="2"/>
  <c r="F36" i="2"/>
  <c r="F35" i="2"/>
  <c r="F34" i="2"/>
  <c r="H93" i="2" l="1"/>
  <c r="E109" i="2"/>
  <c r="F109" i="2" s="1"/>
  <c r="E97" i="2"/>
  <c r="D64" i="8" s="1"/>
  <c r="F64" i="8" s="1"/>
  <c r="D53" i="3"/>
  <c r="F53" i="3" s="1"/>
  <c r="D53" i="8"/>
  <c r="F53" i="8" s="1"/>
  <c r="D53" i="5"/>
  <c r="F53" i="5" s="1"/>
  <c r="F108" i="2"/>
  <c r="D20" i="8"/>
  <c r="F20" i="8" s="1"/>
  <c r="D20" i="12"/>
  <c r="F20" i="12" s="1"/>
  <c r="D20" i="10"/>
  <c r="F20" i="10" s="1"/>
  <c r="D20" i="5"/>
  <c r="F20" i="5" s="1"/>
  <c r="D20" i="3"/>
  <c r="D53" i="10"/>
  <c r="F53" i="10" s="1"/>
  <c r="D31" i="12"/>
  <c r="F31" i="12" s="1"/>
  <c r="D31" i="8"/>
  <c r="F31" i="8" s="1"/>
  <c r="D31" i="10"/>
  <c r="F31" i="10" s="1"/>
  <c r="D31" i="5"/>
  <c r="F31" i="5" s="1"/>
  <c r="D31" i="3"/>
  <c r="F31" i="3" s="1"/>
  <c r="D42" i="12"/>
  <c r="F42" i="12" s="1"/>
  <c r="D42" i="10"/>
  <c r="F42" i="10" s="1"/>
  <c r="D42" i="3"/>
  <c r="F42" i="3" s="1"/>
  <c r="D42" i="8"/>
  <c r="F42" i="8" s="1"/>
  <c r="D42" i="5"/>
  <c r="F42" i="5" s="1"/>
  <c r="D20" i="2"/>
  <c r="F20" i="2" s="1"/>
  <c r="G20" i="2" s="1"/>
  <c r="M34" i="2"/>
  <c r="D22" i="2"/>
  <c r="F22" i="2" s="1"/>
  <c r="G22" i="2" s="1"/>
  <c r="E113" i="2" l="1"/>
  <c r="D75" i="8" s="1"/>
  <c r="F75" i="8" s="1"/>
  <c r="D64" i="5"/>
  <c r="F64" i="5" s="1"/>
  <c r="D64" i="10"/>
  <c r="F64" i="10" s="1"/>
  <c r="D64" i="3"/>
  <c r="F64" i="3" s="1"/>
  <c r="D64" i="12"/>
  <c r="F64" i="12" s="1"/>
  <c r="D75" i="10"/>
  <c r="F75" i="10" s="1"/>
  <c r="D75" i="5"/>
  <c r="F75" i="5" s="1"/>
  <c r="D75" i="12"/>
  <c r="F75" i="12" s="1"/>
  <c r="D75" i="3"/>
  <c r="F75" i="3" s="1"/>
  <c r="D21" i="2"/>
  <c r="F21" i="2" s="1"/>
  <c r="G21" i="2" s="1"/>
  <c r="M36" i="2"/>
  <c r="D19" i="2"/>
  <c r="F19" i="2" s="1"/>
  <c r="G19" i="2" s="1"/>
  <c r="F20" i="3"/>
  <c r="D18" i="2" l="1"/>
  <c r="F18" i="2" s="1"/>
  <c r="M33" i="2" l="1"/>
  <c r="G18" i="2"/>
  <c r="G23" i="2" s="1"/>
  <c r="C11" i="2" s="1"/>
  <c r="J11" i="2" s="1"/>
  <c r="P20" i="2" l="1"/>
  <c r="P23" i="2"/>
  <c r="P22" i="2" l="1"/>
  <c r="P24" i="2"/>
</calcChain>
</file>

<file path=xl/sharedStrings.xml><?xml version="1.0" encoding="utf-8"?>
<sst xmlns="http://schemas.openxmlformats.org/spreadsheetml/2006/main" count="1240" uniqueCount="98">
  <si>
    <t>Cena zamówienia podstawowego</t>
  </si>
  <si>
    <t>Cena Czp 2025</t>
  </si>
  <si>
    <t>Cena Czp 2026</t>
  </si>
  <si>
    <t>Cena Czp 2027</t>
  </si>
  <si>
    <t>Cena Czp 2028</t>
  </si>
  <si>
    <t>Cena Czp 2029</t>
  </si>
  <si>
    <t>Cena Czp</t>
  </si>
  <si>
    <t>Typ autobusu</t>
  </si>
  <si>
    <t>Suma</t>
  </si>
  <si>
    <t>C</t>
  </si>
  <si>
    <t>B</t>
  </si>
  <si>
    <t>Ce</t>
  </si>
  <si>
    <t>D</t>
  </si>
  <si>
    <t>De</t>
  </si>
  <si>
    <t>Łącznie</t>
  </si>
  <si>
    <t>Przepisana wartość sumy - do 2 miejsc po przecinku</t>
  </si>
  <si>
    <t>Przepisana wartość stawki - do 2 miejsc po przecinku</t>
  </si>
  <si>
    <t>Obliczenie ceny zamówienia podstawowego 2025</t>
  </si>
  <si>
    <t>Stawka za 1 wzkm 2025</t>
  </si>
  <si>
    <t>Liczba wzkm dla danego typu 2025</t>
  </si>
  <si>
    <t>Obliczenie ceny zamówienia podstawowego 2026</t>
  </si>
  <si>
    <t>Stawka za 1 wzkm 2026</t>
  </si>
  <si>
    <t>Liczba wzkm dla danego typu 2026</t>
  </si>
  <si>
    <t>Obliczenie ceny zamówienia podstawowego 2027</t>
  </si>
  <si>
    <t>Stawka za 1 wzkm 2027</t>
  </si>
  <si>
    <t>Liczba wzkm dla danego typu 2027</t>
  </si>
  <si>
    <t>Obliczenie ceny zamówienia podstawowego 2028</t>
  </si>
  <si>
    <t>Stawka za 1 wzkm 2028</t>
  </si>
  <si>
    <t>Liczba wzkm dla danego typu 2028</t>
  </si>
  <si>
    <t>Obliczenie ceny zamówienia podstawowego 2029</t>
  </si>
  <si>
    <t>Obliczenie ceny zamówienia podstawowego 2030</t>
  </si>
  <si>
    <t>Stawka za 1 wzkm 2029</t>
  </si>
  <si>
    <t>Liczba wzkm dla danego typu 2029</t>
  </si>
  <si>
    <t>Cena zamówienia podstawowego 2030 = [Cena Cc 2030 (netto) + Cena Cb 2030 (netto)+ Cena Cce 2030 (netto) + Cena Cd 2030 (netto) + Cena Cce 2030 (netto)]</t>
  </si>
  <si>
    <t>Cena zamówienia podstawowego 2029 = [Cena Cc 2029 (netto) + Cena Cb 2029 (netto)+ Cena Cce 2029 (netto) + Cena Cd 2029 (netto) + Cena Cde 2029 (netto)]</t>
  </si>
  <si>
    <t>Cena zamówienia podstawowego 2028 = [Cena Cc 2028 (netto) + Cena Cb 2028 (netto)+ Cena Cce 2028 (netto) + Cena Cd 2028 (netto) + Cena Cde 2028 (netto)]</t>
  </si>
  <si>
    <t>Cena zamówienia podstawowego 2027 = [Cena Cc 2027 (netto) + Cena Cb 2027 (netto)+ Cena Cce 2027 (netto) + Cena Cd 2027 (netto) + Cena Cde 2027 (netto)]</t>
  </si>
  <si>
    <t>Cena zamówienia podstawowego 2026 = [Cena Cc 2026 (netto) + Cena Cb 2026 (netto)+ Cena Cce 2026 (netto) + Cena Cd 2026 (netto) + Cena Cde 2026 (netto)]</t>
  </si>
  <si>
    <t>Cena zamówienia podstawowego 2025 = [Cena Cc 2025 (netto) + Cena Cb 2025 (netto)+ Cena Cce 2025 (netto) + Cena Cd 2025 (netto) + Cena Cde 2025 (netto)]</t>
  </si>
  <si>
    <t>Cena Czp 2030</t>
  </si>
  <si>
    <t>!!! Wszytskie ceny są cenami netto, przed wpisaniem wartosci do Formularza ofertowego należy doliczyć również podatek VAT !!!</t>
  </si>
  <si>
    <t>Cena prawa opcji</t>
  </si>
  <si>
    <t>Cena Cpo 2026</t>
  </si>
  <si>
    <t>Cena Cpo 2027</t>
  </si>
  <si>
    <t>Cena Cpo 2028</t>
  </si>
  <si>
    <t>Cena Cpo 2029</t>
  </si>
  <si>
    <t>Cena Cpo 2030</t>
  </si>
  <si>
    <t>Łącznie wzkm</t>
  </si>
  <si>
    <t>Stawka Cs</t>
  </si>
  <si>
    <t>Cs</t>
  </si>
  <si>
    <t>Ilość wzkm prawa opcji</t>
  </si>
  <si>
    <t>Obliczenie ceny prawa opcji 2026</t>
  </si>
  <si>
    <t>Cs 2026</t>
  </si>
  <si>
    <t>Przepisana Cpo 2026 - do 2 miejsc po przecinku</t>
  </si>
  <si>
    <t>Obliczenie ceny prawa opcji 2027</t>
  </si>
  <si>
    <t>Cs 2027</t>
  </si>
  <si>
    <t>Obliczenie ceny prawa opcji 2028</t>
  </si>
  <si>
    <t>Cs 2028</t>
  </si>
  <si>
    <t>Przepisana Cpo 2028 - do 2 miejsc po przecinku</t>
  </si>
  <si>
    <t>Przepisana Cpo 2027 - do 2 miejsc po przecinku</t>
  </si>
  <si>
    <t>Obliczenie ceny prawa opcji 2029</t>
  </si>
  <si>
    <t>Cs 2029</t>
  </si>
  <si>
    <t>Przepisana Cpo 2029 - do 2 miejsc po przecinku</t>
  </si>
  <si>
    <t>Obliczenie ceny prawa opcji 2030</t>
  </si>
  <si>
    <t>Cs 2030</t>
  </si>
  <si>
    <t>Przepisana Cpo 2030 - do 2 miejsc po przecinku</t>
  </si>
  <si>
    <t>Cena Cpo</t>
  </si>
  <si>
    <t>Wykonawca wypełnia tylko komórki zaznaczone żółtym kolorem, do 2 miejsc po przecinku oznacza zaokrąglenie otrzymanej wartości do 2 miejsc po przecinku.</t>
  </si>
  <si>
    <t>Wpisana w ofercie stawka za autobus typu C (aktualna na dzień składanie ofert)</t>
  </si>
  <si>
    <t>Stawka za 1 wzkm 2030</t>
  </si>
  <si>
    <t>Liczba wzkm dla danego typu 2030</t>
  </si>
  <si>
    <t>Cena zamówienia podstawowego (Czp) = Cena Czp 2025 + Cena Czp 2026+ Cena Czp 2027 + Cena Czp 2028 + Cena Czp 2029 + Cena Czp 2030</t>
  </si>
  <si>
    <t>Cena prawa opcji (Cpo) = Cena Cpo 2026+ Cena Cpo 2027 + Cena Cpo 2028 + Cena Cpo 2029 + Cena Cpo 2030</t>
  </si>
  <si>
    <t>Cena opcji 2026 = Cs 2026 * 60 000  wzkm</t>
  </si>
  <si>
    <t>Cena opcji 2027 = Cs 2027 * 120 000  wzkm</t>
  </si>
  <si>
    <t>Cena opcji 2028 = Cs 2028 * 180 000  wzkm</t>
  </si>
  <si>
    <t>Cena opcji 2029 = Cs 2029 * 240 000 wzkm</t>
  </si>
  <si>
    <t>Cena opcji 2030 = Cs 2030 * 240 000 wzkm</t>
  </si>
  <si>
    <t>Wpisana w ofercie stawka za autobus typu B (aktualna na dzień składanie ofert)</t>
  </si>
  <si>
    <t>Wpisana w ofercie stawka za autobus typu Ce (aktualna na dzień składanie ofert)</t>
  </si>
  <si>
    <t>Wpisana w ofercie stawka za autobus typu D (aktualna na dzień składanie ofert)</t>
  </si>
  <si>
    <t>Wpisana w ofercie stawka za autobus typu De (aktualna na dzień składanie ofert)</t>
  </si>
  <si>
    <t>Stawka za 1 wzkm</t>
  </si>
  <si>
    <t>Stawki które, będą wpisane w Załączniku nr 8 do umowy. Według nich będzie rozliczona bieżąca praca przewozowa</t>
  </si>
  <si>
    <t>Typ B 2024</t>
  </si>
  <si>
    <t>Typ C 2024</t>
  </si>
  <si>
    <t>Typ Ce 2024</t>
  </si>
  <si>
    <t>Typ D 2024</t>
  </si>
  <si>
    <t>Typ De 2024</t>
  </si>
  <si>
    <t>Obliczenie ceny zamówienia podstawowego 2031</t>
  </si>
  <si>
    <t>Cena zamówienia podstawowego 2031 = [Cena Cc 2031 (netto) + Cena Cb 2031 (netto)+ Cena Cce 2031 (netto) + Cena Cd 2031 (netto) + Cena Cce 2031 (netto)]</t>
  </si>
  <si>
    <t>Cena Czp 2031</t>
  </si>
  <si>
    <t>Cena Cpo 2031</t>
  </si>
  <si>
    <t>Obliczenie ceny prawa opcji 2031</t>
  </si>
  <si>
    <t>Cena opcji 2030 = Cs 2030 * 60 000 wzkm</t>
  </si>
  <si>
    <t>Cs 2031</t>
  </si>
  <si>
    <t>ZADANIE NR 1A - FORMULARZ CENOWY</t>
  </si>
  <si>
    <t>ZADANIE NR 1B - 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</si>
</sst>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4"/>
      <color theme="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164" fontId="0" fillId="3" borderId="1" xfId="0" applyNumberFormat="1" applyFill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164" fontId="0" fillId="0" borderId="1" xfId="0" applyNumberFormat="1" applyFill="1" applyBorder="1"/>
    <xf numFmtId="0" fontId="0" fillId="2" borderId="1" xfId="0" applyFill="1" applyBorder="1"/>
    <xf numFmtId="0" fontId="0" fillId="0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0" borderId="0" xfId="0" applyFill="1" applyBorder="1"/>
    <xf numFmtId="164" fontId="0" fillId="0" borderId="0" xfId="0" applyNumberFormat="1" applyFill="1" applyBorder="1"/>
    <xf numFmtId="4" fontId="0" fillId="0" borderId="1" xfId="0" applyNumberFormat="1" applyFill="1" applyBorder="1"/>
    <xf numFmtId="0" fontId="0" fillId="3" borderId="0" xfId="0" applyFill="1"/>
    <xf numFmtId="0" fontId="1" fillId="3" borderId="0" xfId="0" applyFont="1" applyFill="1"/>
    <xf numFmtId="0" fontId="0" fillId="0" borderId="0" xfId="0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/>
    </xf>
    <xf numFmtId="4" fontId="0" fillId="0" borderId="0" xfId="0" applyNumberFormat="1"/>
    <xf numFmtId="4" fontId="0" fillId="0" borderId="0" xfId="0" applyNumberFormat="1" applyFill="1" applyBorder="1"/>
    <xf numFmtId="0" fontId="0" fillId="0" borderId="0" xfId="0" applyFill="1" applyBorder="1" applyAlignment="1">
      <alignment wrapText="1"/>
    </xf>
    <xf numFmtId="164" fontId="0" fillId="0" borderId="0" xfId="0" applyNumberFormat="1"/>
    <xf numFmtId="0" fontId="1" fillId="0" borderId="0" xfId="0" applyFont="1" applyAlignment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S113"/>
  <sheetViews>
    <sheetView topLeftCell="A19" workbookViewId="0">
      <selection activeCell="E21" sqref="E21"/>
    </sheetView>
  </sheetViews>
  <sheetFormatPr defaultRowHeight="14.25"/>
  <cols>
    <col min="3" max="3" width="14.375" bestFit="1" customWidth="1"/>
    <col min="4" max="4" width="12.625" bestFit="1" customWidth="1"/>
    <col min="5" max="5" width="11.375" bestFit="1" customWidth="1"/>
    <col min="6" max="6" width="13.375" bestFit="1" customWidth="1"/>
    <col min="7" max="7" width="14.375" bestFit="1" customWidth="1"/>
    <col min="9" max="10" width="14.375" bestFit="1" customWidth="1"/>
    <col min="14" max="14" width="15.625" customWidth="1"/>
    <col min="15" max="15" width="14.625" customWidth="1"/>
    <col min="16" max="16" width="10.375" customWidth="1"/>
    <col min="17" max="17" width="11.125" customWidth="1"/>
    <col min="19" max="19" width="11.5" customWidth="1"/>
  </cols>
  <sheetData>
    <row r="2" spans="3:19" ht="15">
      <c r="C2" s="26" t="s">
        <v>96</v>
      </c>
      <c r="D2" s="26"/>
      <c r="E2" s="26"/>
      <c r="F2" s="26"/>
      <c r="G2" s="26"/>
    </row>
    <row r="4" spans="3:19" ht="15">
      <c r="C4" s="1" t="s">
        <v>40</v>
      </c>
    </row>
    <row r="5" spans="3:19" ht="15">
      <c r="C5" s="19" t="s">
        <v>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3:19" ht="15" thickBot="1"/>
    <row r="7" spans="3:19" ht="18">
      <c r="C7" s="2" t="s">
        <v>0</v>
      </c>
      <c r="O7" s="27" t="s">
        <v>78</v>
      </c>
      <c r="P7" s="28"/>
      <c r="Q7" s="28"/>
      <c r="R7" s="29"/>
      <c r="S7" s="33"/>
    </row>
    <row r="8" spans="3:19" ht="15" thickBot="1">
      <c r="C8" t="s">
        <v>71</v>
      </c>
      <c r="O8" s="30"/>
      <c r="P8" s="31"/>
      <c r="Q8" s="31"/>
      <c r="R8" s="32"/>
      <c r="S8" s="34"/>
    </row>
    <row r="9" spans="3:19" ht="12.75" customHeight="1">
      <c r="O9" s="27" t="s">
        <v>68</v>
      </c>
      <c r="P9" s="28"/>
      <c r="Q9" s="28"/>
      <c r="R9" s="29"/>
      <c r="S9" s="33"/>
    </row>
    <row r="10" spans="3:19" ht="27.75" customHeight="1" thickBot="1"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39</v>
      </c>
      <c r="I10" s="4" t="s">
        <v>91</v>
      </c>
      <c r="J10" s="5" t="s">
        <v>6</v>
      </c>
      <c r="O10" s="30"/>
      <c r="P10" s="31"/>
      <c r="Q10" s="31"/>
      <c r="R10" s="32"/>
      <c r="S10" s="34"/>
    </row>
    <row r="11" spans="3:19" ht="14.25" customHeight="1">
      <c r="C11" s="9">
        <f>G23</f>
        <v>0</v>
      </c>
      <c r="D11" s="9">
        <f>I38</f>
        <v>0</v>
      </c>
      <c r="E11" s="9">
        <f>I53</f>
        <v>0</v>
      </c>
      <c r="F11" s="9">
        <f>I68</f>
        <v>0</v>
      </c>
      <c r="G11" s="9">
        <f>I82</f>
        <v>0</v>
      </c>
      <c r="H11" s="9">
        <f>I97</f>
        <v>0</v>
      </c>
      <c r="I11" s="9">
        <f>G113</f>
        <v>0</v>
      </c>
      <c r="J11" s="9">
        <f>SUM(C11:I11)</f>
        <v>0</v>
      </c>
      <c r="O11" s="27" t="s">
        <v>79</v>
      </c>
      <c r="P11" s="28"/>
      <c r="Q11" s="28"/>
      <c r="R11" s="29"/>
      <c r="S11" s="33"/>
    </row>
    <row r="12" spans="3:19" ht="15" thickBot="1">
      <c r="O12" s="30"/>
      <c r="P12" s="31"/>
      <c r="Q12" s="31"/>
      <c r="R12" s="32"/>
      <c r="S12" s="34"/>
    </row>
    <row r="13" spans="3:19" ht="15" customHeight="1">
      <c r="C13" s="1" t="s">
        <v>17</v>
      </c>
      <c r="O13" s="27" t="s">
        <v>80</v>
      </c>
      <c r="P13" s="28"/>
      <c r="Q13" s="28"/>
      <c r="R13" s="29"/>
      <c r="S13" s="33"/>
    </row>
    <row r="14" spans="3:19" ht="15" thickBot="1">
      <c r="C14" t="s">
        <v>38</v>
      </c>
      <c r="O14" s="30"/>
      <c r="P14" s="31"/>
      <c r="Q14" s="31"/>
      <c r="R14" s="32"/>
      <c r="S14" s="34"/>
    </row>
    <row r="15" spans="3:19">
      <c r="O15" s="27" t="s">
        <v>81</v>
      </c>
      <c r="P15" s="28"/>
      <c r="Q15" s="28"/>
      <c r="R15" s="29"/>
      <c r="S15" s="33"/>
    </row>
    <row r="16" spans="3:19" ht="15" thickBot="1">
      <c r="O16" s="30"/>
      <c r="P16" s="31"/>
      <c r="Q16" s="31"/>
      <c r="R16" s="32"/>
      <c r="S16" s="34"/>
    </row>
    <row r="17" spans="3:19" ht="99.75">
      <c r="C17" s="4" t="s">
        <v>7</v>
      </c>
      <c r="D17" s="4" t="s">
        <v>18</v>
      </c>
      <c r="E17" s="4" t="s">
        <v>19</v>
      </c>
      <c r="F17" s="4" t="s">
        <v>8</v>
      </c>
      <c r="G17" s="4" t="s">
        <v>15</v>
      </c>
      <c r="J17" s="4" t="s">
        <v>7</v>
      </c>
      <c r="K17" s="4" t="s">
        <v>18</v>
      </c>
      <c r="L17" s="4" t="s">
        <v>16</v>
      </c>
    </row>
    <row r="18" spans="3:19">
      <c r="C18" s="3" t="s">
        <v>10</v>
      </c>
      <c r="D18" s="8">
        <f>L18</f>
        <v>0</v>
      </c>
      <c r="E18" s="6">
        <f>6*7164</f>
        <v>42984</v>
      </c>
      <c r="F18" s="8">
        <f>D18*E18</f>
        <v>0</v>
      </c>
      <c r="G18" s="7">
        <f>F18</f>
        <v>0</v>
      </c>
      <c r="I18" s="25"/>
      <c r="J18" s="3" t="s">
        <v>10</v>
      </c>
      <c r="K18" s="10">
        <f>(0.85*0.125*S7)+S7</f>
        <v>0</v>
      </c>
      <c r="L18" s="7"/>
      <c r="O18" s="35" t="s">
        <v>7</v>
      </c>
      <c r="P18" s="35" t="s">
        <v>82</v>
      </c>
      <c r="Q18" s="35" t="s">
        <v>16</v>
      </c>
      <c r="R18" s="37" t="s">
        <v>83</v>
      </c>
      <c r="S18" s="37"/>
    </row>
    <row r="19" spans="3:19" ht="14.25" customHeight="1">
      <c r="C19" s="3" t="s">
        <v>9</v>
      </c>
      <c r="D19" s="8">
        <f>L19</f>
        <v>0</v>
      </c>
      <c r="E19" s="6">
        <f>6*9407</f>
        <v>56442</v>
      </c>
      <c r="F19" s="8">
        <f t="shared" ref="F19:F22" si="0">D19*E19</f>
        <v>0</v>
      </c>
      <c r="G19" s="7">
        <f t="shared" ref="G19:G22" si="1">F19</f>
        <v>0</v>
      </c>
      <c r="I19" s="25"/>
      <c r="J19" s="3" t="s">
        <v>9</v>
      </c>
      <c r="K19" s="10">
        <f>(0.85*0.125*S9)+S9</f>
        <v>0</v>
      </c>
      <c r="L19" s="7"/>
      <c r="O19" s="36"/>
      <c r="P19" s="36"/>
      <c r="Q19" s="36"/>
      <c r="R19" s="37"/>
      <c r="S19" s="37"/>
    </row>
    <row r="20" spans="3:19">
      <c r="C20" s="3" t="s">
        <v>11</v>
      </c>
      <c r="D20" s="8">
        <f>L20</f>
        <v>0</v>
      </c>
      <c r="E20" s="6">
        <f>6*1894</f>
        <v>11364</v>
      </c>
      <c r="F20" s="8">
        <f t="shared" si="0"/>
        <v>0</v>
      </c>
      <c r="G20" s="7">
        <f t="shared" si="1"/>
        <v>0</v>
      </c>
      <c r="I20" s="25"/>
      <c r="J20" s="3" t="s">
        <v>11</v>
      </c>
      <c r="K20" s="10">
        <f>(0.85*0.125*S11)+S11</f>
        <v>0</v>
      </c>
      <c r="L20" s="7"/>
      <c r="N20" s="22"/>
      <c r="O20" s="11" t="s">
        <v>84</v>
      </c>
      <c r="P20" s="6">
        <f>(P21*0.9)+0.01</f>
        <v>0.01</v>
      </c>
      <c r="Q20" s="14"/>
      <c r="R20" s="37"/>
      <c r="S20" s="37"/>
    </row>
    <row r="21" spans="3:19">
      <c r="C21" s="3" t="s">
        <v>12</v>
      </c>
      <c r="D21" s="8">
        <f>L21</f>
        <v>0</v>
      </c>
      <c r="E21" s="6">
        <f>6*4357</f>
        <v>26142</v>
      </c>
      <c r="F21" s="8">
        <f t="shared" si="0"/>
        <v>0</v>
      </c>
      <c r="G21" s="7">
        <f t="shared" si="1"/>
        <v>0</v>
      </c>
      <c r="I21" s="25"/>
      <c r="J21" s="3" t="s">
        <v>12</v>
      </c>
      <c r="K21" s="10">
        <f>(0.85*0.125*S13)+S13</f>
        <v>0</v>
      </c>
      <c r="L21" s="7"/>
      <c r="N21" s="22"/>
      <c r="O21" s="11" t="s">
        <v>85</v>
      </c>
      <c r="P21" s="6">
        <f>((E18*S7)+(E19*S9)+(E20*S11)+(E21*S13)+(E22*S15))/((E18*0.9)+(E19)+(1.15*E20)+(1.25*E21)+(1.35*E22))</f>
        <v>0</v>
      </c>
      <c r="Q21" s="14"/>
      <c r="R21" s="37"/>
      <c r="S21" s="37"/>
    </row>
    <row r="22" spans="3:19">
      <c r="C22" s="3" t="s">
        <v>13</v>
      </c>
      <c r="D22" s="8">
        <f>L22</f>
        <v>0</v>
      </c>
      <c r="E22" s="6">
        <v>0</v>
      </c>
      <c r="F22" s="8">
        <f t="shared" si="0"/>
        <v>0</v>
      </c>
      <c r="G22" s="7">
        <f t="shared" si="1"/>
        <v>0</v>
      </c>
      <c r="I22" s="25"/>
      <c r="J22" s="3" t="s">
        <v>13</v>
      </c>
      <c r="K22" s="10">
        <f>(0.85*0.125*S15)+S15</f>
        <v>0</v>
      </c>
      <c r="L22" s="7"/>
      <c r="N22" s="22"/>
      <c r="O22" s="11" t="s">
        <v>86</v>
      </c>
      <c r="P22" s="6">
        <f>P21*1.15</f>
        <v>0</v>
      </c>
      <c r="Q22" s="14"/>
      <c r="R22" s="37"/>
      <c r="S22" s="37"/>
    </row>
    <row r="23" spans="3:19">
      <c r="D23" s="11" t="s">
        <v>47</v>
      </c>
      <c r="E23" s="6">
        <f>SUM(E18:E22)</f>
        <v>136932</v>
      </c>
      <c r="F23" s="11" t="s">
        <v>14</v>
      </c>
      <c r="G23" s="8">
        <f>SUM(G18:G22)</f>
        <v>0</v>
      </c>
      <c r="I23" s="25"/>
      <c r="N23" s="22"/>
      <c r="O23" s="11" t="s">
        <v>87</v>
      </c>
      <c r="P23" s="6">
        <f>(P21*1.25)</f>
        <v>0</v>
      </c>
      <c r="Q23" s="14"/>
      <c r="R23" s="37"/>
      <c r="S23" s="37"/>
    </row>
    <row r="24" spans="3:19">
      <c r="N24" s="22"/>
      <c r="O24" s="11" t="s">
        <v>88</v>
      </c>
      <c r="P24" s="6">
        <f>P21*1.35</f>
        <v>0</v>
      </c>
      <c r="Q24" s="14"/>
      <c r="R24" s="37"/>
      <c r="S24" s="37"/>
    </row>
    <row r="25" spans="3:19">
      <c r="N25" s="22"/>
    </row>
    <row r="28" spans="3:19" ht="15">
      <c r="C28" s="1" t="s">
        <v>20</v>
      </c>
    </row>
    <row r="29" spans="3:19">
      <c r="C29" t="s">
        <v>37</v>
      </c>
    </row>
    <row r="32" spans="3:19" ht="57">
      <c r="C32" s="4" t="s">
        <v>7</v>
      </c>
      <c r="D32" s="4" t="s">
        <v>18</v>
      </c>
      <c r="E32" s="4" t="s">
        <v>19</v>
      </c>
      <c r="F32" s="4" t="s">
        <v>21</v>
      </c>
      <c r="G32" s="4" t="s">
        <v>22</v>
      </c>
      <c r="H32" s="4" t="s">
        <v>8</v>
      </c>
      <c r="I32" s="4" t="s">
        <v>15</v>
      </c>
      <c r="L32" s="4" t="s">
        <v>7</v>
      </c>
      <c r="M32" s="4" t="s">
        <v>21</v>
      </c>
      <c r="N32" s="4" t="s">
        <v>16</v>
      </c>
    </row>
    <row r="33" spans="3:14">
      <c r="C33" s="3" t="s">
        <v>10</v>
      </c>
      <c r="D33" s="8">
        <f>L18</f>
        <v>0</v>
      </c>
      <c r="E33" s="6">
        <f>E18</f>
        <v>42984</v>
      </c>
      <c r="F33" s="8">
        <f>N33</f>
        <v>0</v>
      </c>
      <c r="G33" s="6">
        <f>E18</f>
        <v>42984</v>
      </c>
      <c r="H33" s="8">
        <f>(D33*E33)+(F33*G33)</f>
        <v>0</v>
      </c>
      <c r="I33" s="7"/>
      <c r="L33" s="3" t="s">
        <v>10</v>
      </c>
      <c r="M33" s="10">
        <f>(0.85*0.125*L18)+L18</f>
        <v>0</v>
      </c>
      <c r="N33" s="7"/>
    </row>
    <row r="34" spans="3:14">
      <c r="C34" s="3" t="s">
        <v>9</v>
      </c>
      <c r="D34" s="8">
        <f t="shared" ref="D34:D37" si="2">L19</f>
        <v>0</v>
      </c>
      <c r="E34" s="6">
        <f t="shared" ref="E34:E37" si="3">E19</f>
        <v>56442</v>
      </c>
      <c r="F34" s="8">
        <f>N34</f>
        <v>0</v>
      </c>
      <c r="G34" s="6">
        <f t="shared" ref="G34:G37" si="4">E19</f>
        <v>56442</v>
      </c>
      <c r="H34" s="8">
        <f t="shared" ref="H34:H37" si="5">(D34*E34)+(F34*G34)</f>
        <v>0</v>
      </c>
      <c r="I34" s="7"/>
      <c r="L34" s="3" t="s">
        <v>9</v>
      </c>
      <c r="M34" s="10">
        <f>(0.85*0.125*L19)+L19</f>
        <v>0</v>
      </c>
      <c r="N34" s="7"/>
    </row>
    <row r="35" spans="3:14">
      <c r="C35" s="3" t="s">
        <v>11</v>
      </c>
      <c r="D35" s="8">
        <f t="shared" si="2"/>
        <v>0</v>
      </c>
      <c r="E35" s="6">
        <f t="shared" si="3"/>
        <v>11364</v>
      </c>
      <c r="F35" s="8">
        <f>N35</f>
        <v>0</v>
      </c>
      <c r="G35" s="6">
        <f t="shared" si="4"/>
        <v>11364</v>
      </c>
      <c r="H35" s="8">
        <f t="shared" si="5"/>
        <v>0</v>
      </c>
      <c r="I35" s="7"/>
      <c r="L35" s="3" t="s">
        <v>11</v>
      </c>
      <c r="M35" s="10">
        <f>(0.85*0.125*L20)+L20</f>
        <v>0</v>
      </c>
      <c r="N35" s="7"/>
    </row>
    <row r="36" spans="3:14">
      <c r="C36" s="3" t="s">
        <v>12</v>
      </c>
      <c r="D36" s="8">
        <f t="shared" si="2"/>
        <v>0</v>
      </c>
      <c r="E36" s="6">
        <f t="shared" si="3"/>
        <v>26142</v>
      </c>
      <c r="F36" s="8">
        <f>N36</f>
        <v>0</v>
      </c>
      <c r="G36" s="6">
        <f t="shared" si="4"/>
        <v>26142</v>
      </c>
      <c r="H36" s="8">
        <f t="shared" si="5"/>
        <v>0</v>
      </c>
      <c r="I36" s="7"/>
      <c r="L36" s="3" t="s">
        <v>12</v>
      </c>
      <c r="M36" s="10">
        <f>(0.85*0.125*L21)+L21</f>
        <v>0</v>
      </c>
      <c r="N36" s="7"/>
    </row>
    <row r="37" spans="3:14">
      <c r="C37" s="3" t="s">
        <v>13</v>
      </c>
      <c r="D37" s="8">
        <f t="shared" si="2"/>
        <v>0</v>
      </c>
      <c r="E37" s="6">
        <f t="shared" si="3"/>
        <v>0</v>
      </c>
      <c r="F37" s="8">
        <f>N37</f>
        <v>0</v>
      </c>
      <c r="G37" s="6">
        <f t="shared" si="4"/>
        <v>0</v>
      </c>
      <c r="H37" s="8">
        <f t="shared" si="5"/>
        <v>0</v>
      </c>
      <c r="I37" s="7"/>
      <c r="L37" s="3" t="s">
        <v>13</v>
      </c>
      <c r="M37" s="10">
        <f>(0.85*0.125*L22)+L22</f>
        <v>0</v>
      </c>
      <c r="N37" s="7"/>
    </row>
    <row r="38" spans="3:14">
      <c r="D38" s="11" t="s">
        <v>47</v>
      </c>
      <c r="E38" s="6">
        <f>SUM(E33:E37)</f>
        <v>136932</v>
      </c>
      <c r="F38" s="11" t="s">
        <v>47</v>
      </c>
      <c r="G38" s="6">
        <f>SUM(G33:G37)</f>
        <v>136932</v>
      </c>
      <c r="H38" s="11" t="s">
        <v>14</v>
      </c>
      <c r="I38" s="8">
        <f>SUM(I33:I37)</f>
        <v>0</v>
      </c>
    </row>
    <row r="43" spans="3:14" ht="15">
      <c r="C43" s="1" t="s">
        <v>23</v>
      </c>
    </row>
    <row r="44" spans="3:14">
      <c r="C44" t="s">
        <v>36</v>
      </c>
    </row>
    <row r="47" spans="3:14" ht="57">
      <c r="C47" s="4" t="s">
        <v>7</v>
      </c>
      <c r="D47" s="4" t="s">
        <v>21</v>
      </c>
      <c r="E47" s="4" t="s">
        <v>22</v>
      </c>
      <c r="F47" s="4" t="s">
        <v>24</v>
      </c>
      <c r="G47" s="4" t="s">
        <v>25</v>
      </c>
      <c r="H47" s="4" t="s">
        <v>8</v>
      </c>
      <c r="I47" s="4" t="s">
        <v>15</v>
      </c>
      <c r="L47" s="4" t="s">
        <v>7</v>
      </c>
      <c r="M47" s="4" t="s">
        <v>24</v>
      </c>
      <c r="N47" s="4" t="s">
        <v>16</v>
      </c>
    </row>
    <row r="48" spans="3:14">
      <c r="C48" s="3" t="s">
        <v>10</v>
      </c>
      <c r="D48" s="8">
        <f>N33</f>
        <v>0</v>
      </c>
      <c r="E48" s="6">
        <f>E33</f>
        <v>42984</v>
      </c>
      <c r="F48" s="8">
        <f>N48</f>
        <v>0</v>
      </c>
      <c r="G48" s="6">
        <f>G33</f>
        <v>42984</v>
      </c>
      <c r="H48" s="8">
        <f>(D48*E48)+(F48*G48)</f>
        <v>0</v>
      </c>
      <c r="I48" s="7"/>
      <c r="L48" s="3" t="s">
        <v>10</v>
      </c>
      <c r="M48" s="10">
        <f>(0.85*0.125*N33)+N33</f>
        <v>0</v>
      </c>
      <c r="N48" s="7"/>
    </row>
    <row r="49" spans="3:14">
      <c r="C49" s="3" t="s">
        <v>9</v>
      </c>
      <c r="D49" s="8">
        <f t="shared" ref="D49:D52" si="6">N34</f>
        <v>0</v>
      </c>
      <c r="E49" s="6">
        <f t="shared" ref="E49:E52" si="7">E34</f>
        <v>56442</v>
      </c>
      <c r="F49" s="8">
        <f>N49</f>
        <v>0</v>
      </c>
      <c r="G49" s="6">
        <f t="shared" ref="G49:G52" si="8">G34</f>
        <v>56442</v>
      </c>
      <c r="H49" s="8">
        <f t="shared" ref="H49:H52" si="9">(D49*E49)+(F49*G49)</f>
        <v>0</v>
      </c>
      <c r="I49" s="7"/>
      <c r="L49" s="3" t="s">
        <v>9</v>
      </c>
      <c r="M49" s="10">
        <f>(0.85*0.125*N34)+N34</f>
        <v>0</v>
      </c>
      <c r="N49" s="7"/>
    </row>
    <row r="50" spans="3:14">
      <c r="C50" s="3" t="s">
        <v>11</v>
      </c>
      <c r="D50" s="8">
        <f t="shared" si="6"/>
        <v>0</v>
      </c>
      <c r="E50" s="6">
        <f t="shared" si="7"/>
        <v>11364</v>
      </c>
      <c r="F50" s="8">
        <f>N50</f>
        <v>0</v>
      </c>
      <c r="G50" s="6">
        <f t="shared" si="8"/>
        <v>11364</v>
      </c>
      <c r="H50" s="8">
        <f t="shared" si="9"/>
        <v>0</v>
      </c>
      <c r="I50" s="7"/>
      <c r="L50" s="3" t="s">
        <v>11</v>
      </c>
      <c r="M50" s="10">
        <f>(0.85*0.125*N35)+N35</f>
        <v>0</v>
      </c>
      <c r="N50" s="7"/>
    </row>
    <row r="51" spans="3:14">
      <c r="C51" s="3" t="s">
        <v>12</v>
      </c>
      <c r="D51" s="8">
        <f t="shared" si="6"/>
        <v>0</v>
      </c>
      <c r="E51" s="6">
        <f t="shared" si="7"/>
        <v>26142</v>
      </c>
      <c r="F51" s="8">
        <f>N51</f>
        <v>0</v>
      </c>
      <c r="G51" s="6">
        <f t="shared" si="8"/>
        <v>26142</v>
      </c>
      <c r="H51" s="8">
        <f t="shared" si="9"/>
        <v>0</v>
      </c>
      <c r="I51" s="7"/>
      <c r="L51" s="3" t="s">
        <v>12</v>
      </c>
      <c r="M51" s="10">
        <f>(0.85*0.125*N36)+N36</f>
        <v>0</v>
      </c>
      <c r="N51" s="7"/>
    </row>
    <row r="52" spans="3:14">
      <c r="C52" s="3" t="s">
        <v>13</v>
      </c>
      <c r="D52" s="8">
        <f t="shared" si="6"/>
        <v>0</v>
      </c>
      <c r="E52" s="6">
        <f t="shared" si="7"/>
        <v>0</v>
      </c>
      <c r="F52" s="8">
        <f>N52</f>
        <v>0</v>
      </c>
      <c r="G52" s="6">
        <f t="shared" si="8"/>
        <v>0</v>
      </c>
      <c r="H52" s="8">
        <f t="shared" si="9"/>
        <v>0</v>
      </c>
      <c r="I52" s="7"/>
      <c r="L52" s="3" t="s">
        <v>13</v>
      </c>
      <c r="M52" s="10">
        <f>(0.85*0.125*N37)+N37</f>
        <v>0</v>
      </c>
      <c r="N52" s="7"/>
    </row>
    <row r="53" spans="3:14">
      <c r="D53" s="11" t="s">
        <v>47</v>
      </c>
      <c r="E53" s="6">
        <f>SUM(E48:E52)</f>
        <v>136932</v>
      </c>
      <c r="F53" s="11" t="s">
        <v>47</v>
      </c>
      <c r="G53" s="6">
        <f>SUM(G48:G52)</f>
        <v>136932</v>
      </c>
      <c r="H53" s="11" t="s">
        <v>14</v>
      </c>
      <c r="I53" s="8">
        <f>SUM(I48:I52)</f>
        <v>0</v>
      </c>
    </row>
    <row r="58" spans="3:14" ht="15">
      <c r="C58" s="1" t="s">
        <v>26</v>
      </c>
    </row>
    <row r="59" spans="3:14">
      <c r="C59" t="s">
        <v>35</v>
      </c>
    </row>
    <row r="62" spans="3:14" ht="57">
      <c r="C62" s="4" t="s">
        <v>7</v>
      </c>
      <c r="D62" s="4" t="s">
        <v>24</v>
      </c>
      <c r="E62" s="4" t="s">
        <v>25</v>
      </c>
      <c r="F62" s="4" t="s">
        <v>27</v>
      </c>
      <c r="G62" s="4" t="s">
        <v>28</v>
      </c>
      <c r="H62" s="4" t="s">
        <v>8</v>
      </c>
      <c r="I62" s="4" t="s">
        <v>15</v>
      </c>
      <c r="L62" s="4" t="s">
        <v>7</v>
      </c>
      <c r="M62" s="4" t="s">
        <v>27</v>
      </c>
      <c r="N62" s="4" t="s">
        <v>16</v>
      </c>
    </row>
    <row r="63" spans="3:14">
      <c r="C63" s="3" t="s">
        <v>10</v>
      </c>
      <c r="D63" s="8">
        <f>N48</f>
        <v>0</v>
      </c>
      <c r="E63" s="6">
        <f>E48</f>
        <v>42984</v>
      </c>
      <c r="F63" s="8">
        <f>N63</f>
        <v>0</v>
      </c>
      <c r="G63" s="6">
        <f>G48</f>
        <v>42984</v>
      </c>
      <c r="H63" s="8">
        <f>(D63*E63)+(F63*G63)</f>
        <v>0</v>
      </c>
      <c r="I63" s="7"/>
      <c r="L63" s="3" t="s">
        <v>10</v>
      </c>
      <c r="M63" s="10">
        <f>(0.85*0.125*N48)+N48</f>
        <v>0</v>
      </c>
      <c r="N63" s="7"/>
    </row>
    <row r="64" spans="3:14">
      <c r="C64" s="3" t="s">
        <v>9</v>
      </c>
      <c r="D64" s="8">
        <f t="shared" ref="D64:D67" si="10">N49</f>
        <v>0</v>
      </c>
      <c r="E64" s="6">
        <f t="shared" ref="E64:E67" si="11">E49</f>
        <v>56442</v>
      </c>
      <c r="F64" s="8">
        <f>N64</f>
        <v>0</v>
      </c>
      <c r="G64" s="6">
        <f t="shared" ref="G64:G67" si="12">G49</f>
        <v>56442</v>
      </c>
      <c r="H64" s="8">
        <f t="shared" ref="H64:H67" si="13">(D64*E64)+(F64*G64)</f>
        <v>0</v>
      </c>
      <c r="I64" s="7"/>
      <c r="L64" s="3" t="s">
        <v>9</v>
      </c>
      <c r="M64" s="10">
        <f>(0.85*0.125*N49)+N49</f>
        <v>0</v>
      </c>
      <c r="N64" s="7"/>
    </row>
    <row r="65" spans="3:14">
      <c r="C65" s="3" t="s">
        <v>11</v>
      </c>
      <c r="D65" s="8">
        <f t="shared" si="10"/>
        <v>0</v>
      </c>
      <c r="E65" s="6">
        <f t="shared" si="11"/>
        <v>11364</v>
      </c>
      <c r="F65" s="8">
        <f>N65</f>
        <v>0</v>
      </c>
      <c r="G65" s="6">
        <f t="shared" si="12"/>
        <v>11364</v>
      </c>
      <c r="H65" s="8">
        <f t="shared" si="13"/>
        <v>0</v>
      </c>
      <c r="I65" s="7"/>
      <c r="L65" s="3" t="s">
        <v>11</v>
      </c>
      <c r="M65" s="10">
        <f>(0.85*0.125*N50)+N50</f>
        <v>0</v>
      </c>
      <c r="N65" s="7"/>
    </row>
    <row r="66" spans="3:14">
      <c r="C66" s="3" t="s">
        <v>12</v>
      </c>
      <c r="D66" s="8">
        <f t="shared" si="10"/>
        <v>0</v>
      </c>
      <c r="E66" s="6">
        <f t="shared" si="11"/>
        <v>26142</v>
      </c>
      <c r="F66" s="8">
        <f>N66</f>
        <v>0</v>
      </c>
      <c r="G66" s="6">
        <f t="shared" si="12"/>
        <v>26142</v>
      </c>
      <c r="H66" s="8">
        <f t="shared" si="13"/>
        <v>0</v>
      </c>
      <c r="I66" s="7"/>
      <c r="L66" s="3" t="s">
        <v>12</v>
      </c>
      <c r="M66" s="10">
        <f>(0.85*0.125*N51)+N51</f>
        <v>0</v>
      </c>
      <c r="N66" s="7"/>
    </row>
    <row r="67" spans="3:14">
      <c r="C67" s="3" t="s">
        <v>13</v>
      </c>
      <c r="D67" s="8">
        <f t="shared" si="10"/>
        <v>0</v>
      </c>
      <c r="E67" s="6">
        <f t="shared" si="11"/>
        <v>0</v>
      </c>
      <c r="F67" s="8">
        <f>N67</f>
        <v>0</v>
      </c>
      <c r="G67" s="6">
        <f t="shared" si="12"/>
        <v>0</v>
      </c>
      <c r="H67" s="8">
        <f t="shared" si="13"/>
        <v>0</v>
      </c>
      <c r="I67" s="7"/>
      <c r="L67" s="3" t="s">
        <v>13</v>
      </c>
      <c r="M67" s="10">
        <f>(0.85*0.125*N52)+N52</f>
        <v>0</v>
      </c>
      <c r="N67" s="7"/>
    </row>
    <row r="68" spans="3:14">
      <c r="D68" s="11" t="s">
        <v>47</v>
      </c>
      <c r="E68" s="6">
        <f>SUM(E63:E67)</f>
        <v>136932</v>
      </c>
      <c r="F68" s="11" t="s">
        <v>47</v>
      </c>
      <c r="G68" s="6">
        <f>SUM(G63:G67)</f>
        <v>136932</v>
      </c>
      <c r="H68" s="11" t="s">
        <v>14</v>
      </c>
      <c r="I68" s="8">
        <f>SUM(I63:I67)</f>
        <v>0</v>
      </c>
    </row>
    <row r="72" spans="3:14" ht="15">
      <c r="C72" s="1" t="s">
        <v>29</v>
      </c>
    </row>
    <row r="73" spans="3:14">
      <c r="C73" t="s">
        <v>34</v>
      </c>
    </row>
    <row r="76" spans="3:14" ht="57">
      <c r="C76" s="4" t="s">
        <v>7</v>
      </c>
      <c r="D76" s="4" t="s">
        <v>27</v>
      </c>
      <c r="E76" s="4" t="s">
        <v>28</v>
      </c>
      <c r="F76" s="4" t="s">
        <v>31</v>
      </c>
      <c r="G76" s="4" t="s">
        <v>32</v>
      </c>
      <c r="H76" s="4" t="s">
        <v>8</v>
      </c>
      <c r="I76" s="4" t="s">
        <v>15</v>
      </c>
      <c r="L76" s="4" t="s">
        <v>7</v>
      </c>
      <c r="M76" s="4" t="s">
        <v>31</v>
      </c>
      <c r="N76" s="4" t="s">
        <v>16</v>
      </c>
    </row>
    <row r="77" spans="3:14">
      <c r="C77" s="3" t="s">
        <v>10</v>
      </c>
      <c r="D77" s="8">
        <f>N63</f>
        <v>0</v>
      </c>
      <c r="E77" s="6">
        <f>E63</f>
        <v>42984</v>
      </c>
      <c r="F77" s="8">
        <f>N77</f>
        <v>0</v>
      </c>
      <c r="G77" s="6">
        <f>G63</f>
        <v>42984</v>
      </c>
      <c r="H77" s="8">
        <f>(D77*E77)+(F77*G77)</f>
        <v>0</v>
      </c>
      <c r="I77" s="7"/>
      <c r="L77" s="3" t="s">
        <v>10</v>
      </c>
      <c r="M77" s="10">
        <f>(0.85*0.125*N63)+N63</f>
        <v>0</v>
      </c>
      <c r="N77" s="7"/>
    </row>
    <row r="78" spans="3:14">
      <c r="C78" s="3" t="s">
        <v>9</v>
      </c>
      <c r="D78" s="8">
        <f t="shared" ref="D78:D81" si="14">N64</f>
        <v>0</v>
      </c>
      <c r="E78" s="6">
        <f t="shared" ref="E78:E81" si="15">E64</f>
        <v>56442</v>
      </c>
      <c r="F78" s="8">
        <f>N78</f>
        <v>0</v>
      </c>
      <c r="G78" s="6">
        <f t="shared" ref="G78:G81" si="16">G64</f>
        <v>56442</v>
      </c>
      <c r="H78" s="8">
        <f t="shared" ref="H78:H81" si="17">(D78*E78)+(F78*G78)</f>
        <v>0</v>
      </c>
      <c r="I78" s="7"/>
      <c r="L78" s="3" t="s">
        <v>9</v>
      </c>
      <c r="M78" s="10">
        <f>(0.85*0.125*N64)+N64</f>
        <v>0</v>
      </c>
      <c r="N78" s="7"/>
    </row>
    <row r="79" spans="3:14">
      <c r="C79" s="3" t="s">
        <v>11</v>
      </c>
      <c r="D79" s="8">
        <f t="shared" si="14"/>
        <v>0</v>
      </c>
      <c r="E79" s="6">
        <f t="shared" si="15"/>
        <v>11364</v>
      </c>
      <c r="F79" s="8">
        <f>N79</f>
        <v>0</v>
      </c>
      <c r="G79" s="6">
        <f t="shared" si="16"/>
        <v>11364</v>
      </c>
      <c r="H79" s="8">
        <f t="shared" si="17"/>
        <v>0</v>
      </c>
      <c r="I79" s="7"/>
      <c r="L79" s="3" t="s">
        <v>11</v>
      </c>
      <c r="M79" s="10">
        <f>(0.85*0.125*N65)+N65</f>
        <v>0</v>
      </c>
      <c r="N79" s="7"/>
    </row>
    <row r="80" spans="3:14">
      <c r="C80" s="3" t="s">
        <v>12</v>
      </c>
      <c r="D80" s="8">
        <f t="shared" si="14"/>
        <v>0</v>
      </c>
      <c r="E80" s="6">
        <f t="shared" si="15"/>
        <v>26142</v>
      </c>
      <c r="F80" s="8">
        <f>N80</f>
        <v>0</v>
      </c>
      <c r="G80" s="6">
        <f t="shared" si="16"/>
        <v>26142</v>
      </c>
      <c r="H80" s="8">
        <f t="shared" si="17"/>
        <v>0</v>
      </c>
      <c r="I80" s="7"/>
      <c r="L80" s="3" t="s">
        <v>12</v>
      </c>
      <c r="M80" s="10">
        <f>(0.85*0.125*N66)+N66</f>
        <v>0</v>
      </c>
      <c r="N80" s="7"/>
    </row>
    <row r="81" spans="3:14">
      <c r="C81" s="3" t="s">
        <v>13</v>
      </c>
      <c r="D81" s="8">
        <f t="shared" si="14"/>
        <v>0</v>
      </c>
      <c r="E81" s="6">
        <f t="shared" si="15"/>
        <v>0</v>
      </c>
      <c r="F81" s="8">
        <f>N81</f>
        <v>0</v>
      </c>
      <c r="G81" s="6">
        <f t="shared" si="16"/>
        <v>0</v>
      </c>
      <c r="H81" s="8">
        <f t="shared" si="17"/>
        <v>0</v>
      </c>
      <c r="I81" s="7"/>
      <c r="L81" s="3" t="s">
        <v>13</v>
      </c>
      <c r="M81" s="10">
        <f>(0.85*0.125*N67)+N67</f>
        <v>0</v>
      </c>
      <c r="N81" s="7"/>
    </row>
    <row r="82" spans="3:14">
      <c r="D82" s="11" t="s">
        <v>47</v>
      </c>
      <c r="E82" s="6">
        <f>SUM(E77:E81)</f>
        <v>136932</v>
      </c>
      <c r="F82" s="11" t="s">
        <v>47</v>
      </c>
      <c r="G82" s="6">
        <f>SUM(G77:G81)</f>
        <v>136932</v>
      </c>
      <c r="H82" s="11" t="s">
        <v>14</v>
      </c>
      <c r="I82" s="8">
        <f>SUM(I77:I81)</f>
        <v>0</v>
      </c>
    </row>
    <row r="87" spans="3:14" ht="15">
      <c r="C87" s="1" t="s">
        <v>30</v>
      </c>
    </row>
    <row r="88" spans="3:14">
      <c r="C88" t="s">
        <v>33</v>
      </c>
    </row>
    <row r="91" spans="3:14" ht="57">
      <c r="C91" s="4" t="s">
        <v>7</v>
      </c>
      <c r="D91" s="4" t="s">
        <v>24</v>
      </c>
      <c r="E91" s="4" t="s">
        <v>25</v>
      </c>
      <c r="F91" s="4" t="s">
        <v>69</v>
      </c>
      <c r="G91" s="4" t="s">
        <v>70</v>
      </c>
      <c r="H91" s="4" t="s">
        <v>8</v>
      </c>
      <c r="I91" s="4" t="s">
        <v>15</v>
      </c>
      <c r="L91" s="4" t="s">
        <v>7</v>
      </c>
      <c r="M91" s="4" t="s">
        <v>69</v>
      </c>
      <c r="N91" s="4" t="s">
        <v>16</v>
      </c>
    </row>
    <row r="92" spans="3:14">
      <c r="C92" s="3" t="s">
        <v>10</v>
      </c>
      <c r="D92" s="8">
        <f>N77</f>
        <v>0</v>
      </c>
      <c r="E92" s="6">
        <f>E77</f>
        <v>42984</v>
      </c>
      <c r="F92" s="8">
        <f>N92</f>
        <v>0</v>
      </c>
      <c r="G92" s="6">
        <f>G77</f>
        <v>42984</v>
      </c>
      <c r="H92" s="8">
        <f>(D92*E92)+(F92*G92)</f>
        <v>0</v>
      </c>
      <c r="I92" s="7"/>
      <c r="L92" s="3" t="s">
        <v>10</v>
      </c>
      <c r="M92" s="10">
        <f>(0.85*0.125*N77)+N77</f>
        <v>0</v>
      </c>
      <c r="N92" s="7"/>
    </row>
    <row r="93" spans="3:14">
      <c r="C93" s="3" t="s">
        <v>9</v>
      </c>
      <c r="D93" s="8">
        <f t="shared" ref="D93:D96" si="18">N78</f>
        <v>0</v>
      </c>
      <c r="E93" s="6">
        <f t="shared" ref="E93:E96" si="19">E78</f>
        <v>56442</v>
      </c>
      <c r="F93" s="8">
        <f>N93</f>
        <v>0</v>
      </c>
      <c r="G93" s="6">
        <f t="shared" ref="G93:G96" si="20">G78</f>
        <v>56442</v>
      </c>
      <c r="H93" s="8">
        <f t="shared" ref="H93:H96" si="21">(D93*E93)+(F93*G93)</f>
        <v>0</v>
      </c>
      <c r="I93" s="7"/>
      <c r="L93" s="3" t="s">
        <v>9</v>
      </c>
      <c r="M93" s="10">
        <f>(0.85*0.125*N78)+N78</f>
        <v>0</v>
      </c>
      <c r="N93" s="7"/>
    </row>
    <row r="94" spans="3:14">
      <c r="C94" s="3" t="s">
        <v>11</v>
      </c>
      <c r="D94" s="8">
        <f t="shared" si="18"/>
        <v>0</v>
      </c>
      <c r="E94" s="6">
        <f t="shared" si="19"/>
        <v>11364</v>
      </c>
      <c r="F94" s="8">
        <f>N94</f>
        <v>0</v>
      </c>
      <c r="G94" s="6">
        <f t="shared" si="20"/>
        <v>11364</v>
      </c>
      <c r="H94" s="8">
        <f t="shared" si="21"/>
        <v>0</v>
      </c>
      <c r="I94" s="7"/>
      <c r="L94" s="3" t="s">
        <v>11</v>
      </c>
      <c r="M94" s="10">
        <f>(0.85*0.125*N79)+N79</f>
        <v>0</v>
      </c>
      <c r="N94" s="7"/>
    </row>
    <row r="95" spans="3:14">
      <c r="C95" s="3" t="s">
        <v>12</v>
      </c>
      <c r="D95" s="8">
        <f t="shared" si="18"/>
        <v>0</v>
      </c>
      <c r="E95" s="6">
        <f t="shared" si="19"/>
        <v>26142</v>
      </c>
      <c r="F95" s="8">
        <f>N95</f>
        <v>0</v>
      </c>
      <c r="G95" s="6">
        <f t="shared" si="20"/>
        <v>26142</v>
      </c>
      <c r="H95" s="8">
        <f t="shared" si="21"/>
        <v>0</v>
      </c>
      <c r="I95" s="7"/>
      <c r="L95" s="3" t="s">
        <v>12</v>
      </c>
      <c r="M95" s="10">
        <f>(0.85*0.125*N80)+N80</f>
        <v>0</v>
      </c>
      <c r="N95" s="7"/>
    </row>
    <row r="96" spans="3:14">
      <c r="C96" s="3" t="s">
        <v>13</v>
      </c>
      <c r="D96" s="8">
        <f t="shared" si="18"/>
        <v>0</v>
      </c>
      <c r="E96" s="6">
        <f t="shared" si="19"/>
        <v>0</v>
      </c>
      <c r="F96" s="8">
        <f>N96</f>
        <v>0</v>
      </c>
      <c r="G96" s="6">
        <f t="shared" si="20"/>
        <v>0</v>
      </c>
      <c r="H96" s="8">
        <f t="shared" si="21"/>
        <v>0</v>
      </c>
      <c r="I96" s="7"/>
      <c r="L96" s="3" t="s">
        <v>13</v>
      </c>
      <c r="M96" s="10">
        <f>(0.85*0.125*N81)+N81</f>
        <v>0</v>
      </c>
      <c r="N96" s="7"/>
    </row>
    <row r="97" spans="3:9">
      <c r="D97" s="11" t="s">
        <v>47</v>
      </c>
      <c r="E97" s="6">
        <f>SUM(E92:E96)</f>
        <v>136932</v>
      </c>
      <c r="F97" s="11" t="s">
        <v>47</v>
      </c>
      <c r="G97" s="6">
        <f>SUM(G92:G96)</f>
        <v>136932</v>
      </c>
      <c r="H97" s="11" t="s">
        <v>14</v>
      </c>
      <c r="I97" s="8">
        <f>SUM(I92:I96)</f>
        <v>0</v>
      </c>
    </row>
    <row r="103" spans="3:9" ht="15">
      <c r="C103" s="1" t="s">
        <v>89</v>
      </c>
    </row>
    <row r="104" spans="3:9">
      <c r="C104" t="s">
        <v>90</v>
      </c>
    </row>
    <row r="107" spans="3:9" ht="57">
      <c r="C107" s="4" t="s">
        <v>7</v>
      </c>
      <c r="D107" s="4" t="s">
        <v>69</v>
      </c>
      <c r="E107" s="4" t="s">
        <v>70</v>
      </c>
      <c r="F107" s="4" t="s">
        <v>8</v>
      </c>
      <c r="G107" s="4" t="s">
        <v>15</v>
      </c>
    </row>
    <row r="108" spans="3:9">
      <c r="C108" s="3" t="s">
        <v>10</v>
      </c>
      <c r="D108" s="8">
        <f>N92</f>
        <v>0</v>
      </c>
      <c r="E108" s="6">
        <f>E92</f>
        <v>42984</v>
      </c>
      <c r="F108" s="8">
        <f>D108*E108</f>
        <v>0</v>
      </c>
      <c r="G108" s="7"/>
    </row>
    <row r="109" spans="3:9">
      <c r="C109" s="3" t="s">
        <v>9</v>
      </c>
      <c r="D109" s="8">
        <f>N93</f>
        <v>0</v>
      </c>
      <c r="E109" s="6">
        <f t="shared" ref="E109:E112" si="22">E93</f>
        <v>56442</v>
      </c>
      <c r="F109" s="8">
        <f>D109*E109</f>
        <v>0</v>
      </c>
      <c r="G109" s="7"/>
    </row>
    <row r="110" spans="3:9">
      <c r="C110" s="3" t="s">
        <v>11</v>
      </c>
      <c r="D110" s="8">
        <f>N94</f>
        <v>0</v>
      </c>
      <c r="E110" s="6">
        <f t="shared" si="22"/>
        <v>11364</v>
      </c>
      <c r="F110" s="8">
        <f t="shared" ref="F110:F112" si="23">D110*E110</f>
        <v>0</v>
      </c>
      <c r="G110" s="7"/>
    </row>
    <row r="111" spans="3:9">
      <c r="C111" s="3" t="s">
        <v>12</v>
      </c>
      <c r="D111" s="8">
        <f>N95</f>
        <v>0</v>
      </c>
      <c r="E111" s="6">
        <f t="shared" si="22"/>
        <v>26142</v>
      </c>
      <c r="F111" s="8">
        <f t="shared" si="23"/>
        <v>0</v>
      </c>
      <c r="G111" s="7"/>
    </row>
    <row r="112" spans="3:9">
      <c r="C112" s="3" t="s">
        <v>13</v>
      </c>
      <c r="D112" s="8">
        <f>N96</f>
        <v>0</v>
      </c>
      <c r="E112" s="6">
        <f t="shared" si="22"/>
        <v>0</v>
      </c>
      <c r="F112" s="8">
        <f t="shared" si="23"/>
        <v>0</v>
      </c>
      <c r="G112" s="7"/>
    </row>
    <row r="113" spans="4:7">
      <c r="D113" s="11" t="s">
        <v>47</v>
      </c>
      <c r="E113" s="6">
        <f>SUM(E108:E112)</f>
        <v>136932</v>
      </c>
      <c r="F113" s="11" t="s">
        <v>14</v>
      </c>
      <c r="G113" s="8">
        <f>SUM(G108:G112)</f>
        <v>0</v>
      </c>
    </row>
  </sheetData>
  <mergeCells count="15">
    <mergeCell ref="O18:O19"/>
    <mergeCell ref="P18:P19"/>
    <mergeCell ref="Q18:Q19"/>
    <mergeCell ref="R18:S24"/>
    <mergeCell ref="O11:R12"/>
    <mergeCell ref="S11:S12"/>
    <mergeCell ref="O13:R14"/>
    <mergeCell ref="S13:S14"/>
    <mergeCell ref="O15:R16"/>
    <mergeCell ref="S15:S16"/>
    <mergeCell ref="C2:G2"/>
    <mergeCell ref="O9:R10"/>
    <mergeCell ref="S9:S10"/>
    <mergeCell ref="O7:R8"/>
    <mergeCell ref="S7:S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37E46-2B30-4499-B602-EDA797A6F495}">
  <dimension ref="C2:P76"/>
  <sheetViews>
    <sheetView topLeftCell="A61" workbookViewId="0">
      <selection activeCell="E76" sqref="E76"/>
    </sheetView>
  </sheetViews>
  <sheetFormatPr defaultRowHeight="14.25"/>
  <cols>
    <col min="3" max="3" width="14.375" bestFit="1" customWidth="1"/>
    <col min="4" max="4" width="9.125" bestFit="1" customWidth="1"/>
    <col min="5" max="5" width="15.75" bestFit="1" customWidth="1"/>
    <col min="6" max="6" width="11.375" bestFit="1" customWidth="1"/>
    <col min="7" max="7" width="14.375" bestFit="1" customWidth="1"/>
    <col min="9" max="9" width="11.75" customWidth="1"/>
    <col min="10" max="10" width="14.375" bestFit="1" customWidth="1"/>
    <col min="11" max="11" width="11.375" bestFit="1" customWidth="1"/>
    <col min="14" max="14" width="10.75" bestFit="1" customWidth="1"/>
    <col min="15" max="15" width="41.25" bestFit="1" customWidth="1"/>
    <col min="17" max="17" width="54.875" bestFit="1" customWidth="1"/>
  </cols>
  <sheetData>
    <row r="2" spans="3:15" ht="15">
      <c r="C2" s="26" t="s">
        <v>97</v>
      </c>
      <c r="D2" s="26"/>
      <c r="E2" s="26"/>
      <c r="F2" s="26"/>
    </row>
    <row r="4" spans="3:15" ht="15">
      <c r="C4" s="1" t="s">
        <v>40</v>
      </c>
    </row>
    <row r="5" spans="3:15" ht="15">
      <c r="C5" s="19" t="s">
        <v>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7" spans="3:15" ht="18">
      <c r="C7" s="2" t="s">
        <v>41</v>
      </c>
    </row>
    <row r="8" spans="3:15">
      <c r="C8" t="s">
        <v>72</v>
      </c>
    </row>
    <row r="10" spans="3:15" ht="28.5">
      <c r="C10" s="20"/>
      <c r="D10" s="12"/>
      <c r="E10" s="4" t="s">
        <v>42</v>
      </c>
      <c r="F10" s="4" t="s">
        <v>43</v>
      </c>
      <c r="G10" s="4" t="s">
        <v>44</v>
      </c>
      <c r="H10" s="4" t="s">
        <v>45</v>
      </c>
      <c r="I10" s="4" t="s">
        <v>46</v>
      </c>
      <c r="J10" s="4" t="s">
        <v>92</v>
      </c>
      <c r="K10" s="5" t="s">
        <v>66</v>
      </c>
    </row>
    <row r="11" spans="3:15">
      <c r="D11" s="21"/>
      <c r="E11" s="9">
        <f>F21</f>
        <v>0</v>
      </c>
      <c r="F11" s="9">
        <f>F32</f>
        <v>0</v>
      </c>
      <c r="G11" s="9">
        <f>F43</f>
        <v>0</v>
      </c>
      <c r="H11" s="9">
        <f>F54</f>
        <v>0</v>
      </c>
      <c r="I11" s="9">
        <f>F65</f>
        <v>0</v>
      </c>
      <c r="J11" s="9">
        <f>F76</f>
        <v>0</v>
      </c>
      <c r="K11" s="9">
        <f>E11+F11+G11+H11+I11+J11</f>
        <v>0</v>
      </c>
    </row>
    <row r="15" spans="3:15" ht="15">
      <c r="C15" s="1" t="s">
        <v>51</v>
      </c>
    </row>
    <row r="16" spans="3:15">
      <c r="C16" t="s">
        <v>73</v>
      </c>
      <c r="J16" s="22"/>
    </row>
    <row r="19" spans="3:16" ht="28.5">
      <c r="C19" s="4" t="s">
        <v>49</v>
      </c>
      <c r="D19" s="4" t="s">
        <v>48</v>
      </c>
      <c r="E19" s="4" t="s">
        <v>50</v>
      </c>
      <c r="F19" s="4" t="s">
        <v>8</v>
      </c>
      <c r="G19" s="15"/>
      <c r="H19" s="15"/>
      <c r="I19" s="15"/>
      <c r="J19" s="15"/>
      <c r="K19" s="15"/>
      <c r="L19" s="15"/>
    </row>
    <row r="20" spans="3:16">
      <c r="C20" s="3" t="s">
        <v>52</v>
      </c>
      <c r="D20" s="17">
        <f>' 1A Czp - zamówienie podstawowe'!I38/(' 1A Czp - zamówienie podstawowe'!G38+' 1A Czp - zamówienie podstawowe'!E38)</f>
        <v>0</v>
      </c>
      <c r="E20" s="17">
        <f>60000/5</f>
        <v>12000</v>
      </c>
      <c r="F20" s="10">
        <f>D20*E20</f>
        <v>0</v>
      </c>
      <c r="G20" s="15"/>
      <c r="H20" s="20"/>
      <c r="I20" s="20"/>
      <c r="J20" s="20"/>
      <c r="K20" s="20"/>
      <c r="L20" s="15"/>
    </row>
    <row r="21" spans="3:16" ht="57">
      <c r="C21" s="15"/>
      <c r="D21" s="16"/>
      <c r="E21" s="13" t="s">
        <v>53</v>
      </c>
      <c r="F21" s="14"/>
      <c r="G21" s="15"/>
      <c r="H21" s="15"/>
      <c r="I21" s="23"/>
      <c r="J21" s="23"/>
      <c r="K21" s="23"/>
      <c r="L21" s="15"/>
    </row>
    <row r="22" spans="3:16">
      <c r="C22" s="15"/>
      <c r="D22" s="16"/>
      <c r="E22" s="23"/>
      <c r="F22" s="23"/>
      <c r="G22" s="15"/>
      <c r="H22" s="15"/>
      <c r="I22" s="23"/>
      <c r="J22" s="23"/>
      <c r="K22" s="23"/>
      <c r="L22" s="15"/>
    </row>
    <row r="23" spans="3:16">
      <c r="C23" s="15"/>
      <c r="D23" s="16"/>
      <c r="E23" s="23"/>
      <c r="F23" s="23"/>
      <c r="G23" s="15"/>
      <c r="H23" s="15"/>
      <c r="I23" s="23"/>
      <c r="J23" s="23"/>
      <c r="K23" s="23"/>
      <c r="L23" s="15"/>
      <c r="M23" s="15"/>
      <c r="N23" s="16"/>
      <c r="O23" s="16"/>
      <c r="P23" s="16"/>
    </row>
    <row r="24" spans="3:16">
      <c r="C24" s="15"/>
      <c r="D24" s="15"/>
      <c r="E24" s="15"/>
      <c r="F24" s="23"/>
      <c r="G24" s="15"/>
      <c r="H24" s="15"/>
      <c r="I24" s="15"/>
      <c r="J24" s="15"/>
      <c r="K24" s="23"/>
      <c r="L24" s="15"/>
    </row>
    <row r="25" spans="3:16">
      <c r="C25" s="15"/>
      <c r="D25" s="15"/>
      <c r="E25" s="15"/>
      <c r="F25" s="23"/>
      <c r="G25" s="15"/>
      <c r="H25" s="15"/>
      <c r="I25" s="15"/>
      <c r="J25" s="15"/>
      <c r="K25" s="23"/>
      <c r="L25" s="15"/>
    </row>
    <row r="26" spans="3:16" ht="15">
      <c r="C26" s="1" t="s">
        <v>54</v>
      </c>
      <c r="H26" s="15"/>
      <c r="I26" s="15"/>
      <c r="J26" s="15"/>
      <c r="K26" s="15"/>
      <c r="L26" s="15"/>
    </row>
    <row r="27" spans="3:16">
      <c r="C27" t="s">
        <v>74</v>
      </c>
      <c r="H27" s="15"/>
      <c r="I27" s="15"/>
      <c r="J27" s="24"/>
      <c r="K27" s="15"/>
      <c r="L27" s="15"/>
    </row>
    <row r="28" spans="3:16">
      <c r="H28" s="15"/>
      <c r="I28" s="15"/>
      <c r="J28" s="15"/>
      <c r="K28" s="15"/>
      <c r="L28" s="15"/>
    </row>
    <row r="30" spans="3:16" ht="28.5">
      <c r="C30" s="4" t="s">
        <v>49</v>
      </c>
      <c r="D30" s="4" t="s">
        <v>48</v>
      </c>
      <c r="E30" s="4" t="s">
        <v>50</v>
      </c>
      <c r="F30" s="4" t="s">
        <v>8</v>
      </c>
      <c r="G30" s="15"/>
    </row>
    <row r="31" spans="3:16">
      <c r="C31" s="3" t="s">
        <v>55</v>
      </c>
      <c r="D31" s="17">
        <f>' 1A Czp - zamówienie podstawowe'!I53/(' 1A Czp - zamówienie podstawowe'!E53+' 1A Czp - zamówienie podstawowe'!G53)</f>
        <v>0</v>
      </c>
      <c r="E31" s="17">
        <f>120000/5</f>
        <v>24000</v>
      </c>
      <c r="F31" s="10">
        <f>D31*E31</f>
        <v>0</v>
      </c>
      <c r="G31" s="15"/>
    </row>
    <row r="32" spans="3:16" ht="57">
      <c r="C32" s="15"/>
      <c r="D32" s="16"/>
      <c r="E32" s="13" t="s">
        <v>59</v>
      </c>
      <c r="F32" s="14"/>
      <c r="G32" s="15"/>
    </row>
    <row r="37" spans="3:6" ht="15">
      <c r="C37" s="1" t="s">
        <v>56</v>
      </c>
    </row>
    <row r="38" spans="3:6">
      <c r="C38" t="s">
        <v>75</v>
      </c>
    </row>
    <row r="41" spans="3:6" ht="28.5">
      <c r="C41" s="4" t="s">
        <v>49</v>
      </c>
      <c r="D41" s="4" t="s">
        <v>48</v>
      </c>
      <c r="E41" s="4" t="s">
        <v>50</v>
      </c>
      <c r="F41" s="4" t="s">
        <v>8</v>
      </c>
    </row>
    <row r="42" spans="3:6">
      <c r="C42" s="3" t="s">
        <v>57</v>
      </c>
      <c r="D42" s="17">
        <f>' 1A Czp - zamówienie podstawowe'!I68/(' 1A Czp - zamówienie podstawowe'!E68+' 1A Czp - zamówienie podstawowe'!G68)</f>
        <v>0</v>
      </c>
      <c r="E42" s="17">
        <f>180000/5</f>
        <v>36000</v>
      </c>
      <c r="F42" s="10">
        <f>D42*E42</f>
        <v>0</v>
      </c>
    </row>
    <row r="43" spans="3:6" ht="57">
      <c r="C43" s="15"/>
      <c r="D43" s="16"/>
      <c r="E43" s="13" t="s">
        <v>58</v>
      </c>
      <c r="F43" s="14"/>
    </row>
    <row r="44" spans="3:6">
      <c r="C44" s="15"/>
      <c r="D44" s="16"/>
      <c r="E44" s="23"/>
      <c r="F44" s="23"/>
    </row>
    <row r="45" spans="3:6">
      <c r="C45" s="15"/>
      <c r="D45" s="16"/>
      <c r="E45" s="23"/>
      <c r="F45" s="23"/>
    </row>
    <row r="46" spans="3:6">
      <c r="C46" s="15"/>
      <c r="D46" s="15"/>
      <c r="E46" s="15"/>
      <c r="F46" s="23"/>
    </row>
    <row r="47" spans="3:6">
      <c r="C47" s="15"/>
      <c r="D47" s="15"/>
      <c r="E47" s="15"/>
      <c r="F47" s="23"/>
    </row>
    <row r="48" spans="3:6" ht="15">
      <c r="C48" s="1" t="s">
        <v>60</v>
      </c>
    </row>
    <row r="49" spans="3:6">
      <c r="C49" t="s">
        <v>76</v>
      </c>
    </row>
    <row r="52" spans="3:6" ht="28.5">
      <c r="C52" s="4" t="s">
        <v>49</v>
      </c>
      <c r="D52" s="4" t="s">
        <v>48</v>
      </c>
      <c r="E52" s="4" t="s">
        <v>50</v>
      </c>
      <c r="F52" s="4" t="s">
        <v>8</v>
      </c>
    </row>
    <row r="53" spans="3:6">
      <c r="C53" s="3" t="s">
        <v>61</v>
      </c>
      <c r="D53" s="17">
        <f>' 1A Czp - zamówienie podstawowe'!I82/(' 1A Czp - zamówienie podstawowe'!E82+' 1A Czp - zamówienie podstawowe'!G82)</f>
        <v>0</v>
      </c>
      <c r="E53" s="17">
        <f>240000/5</f>
        <v>48000</v>
      </c>
      <c r="F53" s="10">
        <f>D53*E53</f>
        <v>0</v>
      </c>
    </row>
    <row r="54" spans="3:6" ht="57">
      <c r="C54" s="15"/>
      <c r="D54" s="16"/>
      <c r="E54" s="13" t="s">
        <v>62</v>
      </c>
      <c r="F54" s="14"/>
    </row>
    <row r="59" spans="3:6" ht="15">
      <c r="C59" s="1" t="s">
        <v>63</v>
      </c>
    </row>
    <row r="60" spans="3:6">
      <c r="C60" t="s">
        <v>77</v>
      </c>
    </row>
    <row r="63" spans="3:6" ht="28.5">
      <c r="C63" s="4" t="s">
        <v>49</v>
      </c>
      <c r="D63" s="4" t="s">
        <v>48</v>
      </c>
      <c r="E63" s="4" t="s">
        <v>50</v>
      </c>
      <c r="F63" s="4" t="s">
        <v>8</v>
      </c>
    </row>
    <row r="64" spans="3:6">
      <c r="C64" s="3" t="s">
        <v>64</v>
      </c>
      <c r="D64" s="17">
        <f>' 1A Czp - zamówienie podstawowe'!I97/(' 1A Czp - zamówienie podstawowe'!E97+' 1A Czp - zamówienie podstawowe'!G97)</f>
        <v>0</v>
      </c>
      <c r="E64" s="17">
        <f>240000/5</f>
        <v>48000</v>
      </c>
      <c r="F64" s="10">
        <f>D64*E64</f>
        <v>0</v>
      </c>
    </row>
    <row r="65" spans="3:6" ht="57">
      <c r="C65" s="15"/>
      <c r="D65" s="16"/>
      <c r="E65" s="13" t="s">
        <v>65</v>
      </c>
      <c r="F65" s="14"/>
    </row>
    <row r="70" spans="3:6" ht="15">
      <c r="C70" s="1" t="s">
        <v>93</v>
      </c>
    </row>
    <row r="71" spans="3:6">
      <c r="C71" t="s">
        <v>94</v>
      </c>
    </row>
    <row r="74" spans="3:6" ht="28.5">
      <c r="C74" s="4" t="s">
        <v>49</v>
      </c>
      <c r="D74" s="4" t="s">
        <v>48</v>
      </c>
      <c r="E74" s="4" t="s">
        <v>50</v>
      </c>
      <c r="F74" s="4" t="s">
        <v>8</v>
      </c>
    </row>
    <row r="75" spans="3:6">
      <c r="C75" s="3" t="s">
        <v>95</v>
      </c>
      <c r="D75" s="17">
        <f>' 1A Czp - zamówienie podstawowe'!G113/' 1A Czp - zamówienie podstawowe'!E113</f>
        <v>0</v>
      </c>
      <c r="E75" s="17">
        <f>60000/5</f>
        <v>12000</v>
      </c>
      <c r="F75" s="10">
        <f>D75*E75</f>
        <v>0</v>
      </c>
    </row>
    <row r="76" spans="3:6" ht="57">
      <c r="C76" s="15"/>
      <c r="D76" s="16"/>
      <c r="E76" s="13" t="s">
        <v>65</v>
      </c>
      <c r="F76" s="14"/>
    </row>
  </sheetData>
  <mergeCells count="1">
    <mergeCell ref="C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P76"/>
  <sheetViews>
    <sheetView topLeftCell="A4" workbookViewId="0">
      <selection activeCell="I70" sqref="I70"/>
    </sheetView>
  </sheetViews>
  <sheetFormatPr defaultRowHeight="14.25"/>
  <cols>
    <col min="3" max="3" width="14.375" bestFit="1" customWidth="1"/>
    <col min="4" max="4" width="9.125" bestFit="1" customWidth="1"/>
    <col min="5" max="5" width="15.75" bestFit="1" customWidth="1"/>
    <col min="6" max="6" width="11.375" bestFit="1" customWidth="1"/>
    <col min="7" max="7" width="14.375" bestFit="1" customWidth="1"/>
    <col min="9" max="9" width="11.75" customWidth="1"/>
    <col min="10" max="10" width="14.375" bestFit="1" customWidth="1"/>
    <col min="11" max="11" width="11.375" bestFit="1" customWidth="1"/>
    <col min="14" max="14" width="10.75" bestFit="1" customWidth="1"/>
    <col min="15" max="15" width="41.25" bestFit="1" customWidth="1"/>
    <col min="17" max="17" width="54.875" bestFit="1" customWidth="1"/>
  </cols>
  <sheetData>
    <row r="2" spans="3:15" ht="15">
      <c r="C2" s="26" t="s">
        <v>96</v>
      </c>
      <c r="D2" s="26"/>
      <c r="E2" s="26"/>
      <c r="F2" s="26"/>
    </row>
    <row r="4" spans="3:15" ht="15">
      <c r="C4" s="1" t="s">
        <v>40</v>
      </c>
    </row>
    <row r="5" spans="3:15" ht="15">
      <c r="C5" s="19" t="s">
        <v>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7" spans="3:15" ht="18">
      <c r="C7" s="2" t="s">
        <v>41</v>
      </c>
    </row>
    <row r="8" spans="3:15">
      <c r="C8" t="s">
        <v>72</v>
      </c>
    </row>
    <row r="10" spans="3:15" ht="28.5">
      <c r="C10" s="20"/>
      <c r="D10" s="12"/>
      <c r="E10" s="4" t="s">
        <v>42</v>
      </c>
      <c r="F10" s="4" t="s">
        <v>43</v>
      </c>
      <c r="G10" s="4" t="s">
        <v>44</v>
      </c>
      <c r="H10" s="4" t="s">
        <v>45</v>
      </c>
      <c r="I10" s="4" t="s">
        <v>46</v>
      </c>
      <c r="J10" s="4" t="s">
        <v>92</v>
      </c>
      <c r="K10" s="5" t="s">
        <v>66</v>
      </c>
    </row>
    <row r="11" spans="3:15">
      <c r="D11" s="21"/>
      <c r="E11" s="9">
        <f>F21</f>
        <v>0</v>
      </c>
      <c r="F11" s="9">
        <f>F32</f>
        <v>0</v>
      </c>
      <c r="G11" s="9">
        <f>F43</f>
        <v>0</v>
      </c>
      <c r="H11" s="9">
        <f>F54</f>
        <v>0</v>
      </c>
      <c r="I11" s="9">
        <f>F65</f>
        <v>0</v>
      </c>
      <c r="J11" s="9">
        <f>F76</f>
        <v>0</v>
      </c>
      <c r="K11" s="9">
        <f>E11+F11+G11+H11+I11+J11</f>
        <v>0</v>
      </c>
    </row>
    <row r="15" spans="3:15" ht="15">
      <c r="C15" s="1" t="s">
        <v>51</v>
      </c>
    </row>
    <row r="16" spans="3:15">
      <c r="C16" t="s">
        <v>73</v>
      </c>
      <c r="J16" s="22"/>
    </row>
    <row r="19" spans="3:16" ht="28.5">
      <c r="C19" s="4" t="s">
        <v>49</v>
      </c>
      <c r="D19" s="4" t="s">
        <v>48</v>
      </c>
      <c r="E19" s="4" t="s">
        <v>50</v>
      </c>
      <c r="F19" s="4" t="s">
        <v>8</v>
      </c>
      <c r="G19" s="15"/>
      <c r="H19" s="15"/>
      <c r="I19" s="15"/>
      <c r="J19" s="15"/>
      <c r="K19" s="15"/>
      <c r="L19" s="15"/>
    </row>
    <row r="20" spans="3:16">
      <c r="C20" s="3" t="s">
        <v>52</v>
      </c>
      <c r="D20" s="17">
        <f>' 1A Czp - zamówienie podstawowe'!I38/(' 1A Czp - zamówienie podstawowe'!G38+' 1A Czp - zamówienie podstawowe'!E38)</f>
        <v>0</v>
      </c>
      <c r="E20" s="17">
        <f>60000/5</f>
        <v>12000</v>
      </c>
      <c r="F20" s="10">
        <f>D20*E20</f>
        <v>0</v>
      </c>
      <c r="G20" s="15"/>
      <c r="H20" s="20"/>
      <c r="I20" s="20"/>
      <c r="J20" s="20"/>
      <c r="K20" s="20"/>
      <c r="L20" s="15"/>
    </row>
    <row r="21" spans="3:16" ht="57">
      <c r="C21" s="15"/>
      <c r="D21" s="16"/>
      <c r="E21" s="13" t="s">
        <v>53</v>
      </c>
      <c r="F21" s="14"/>
      <c r="G21" s="15"/>
      <c r="H21" s="15"/>
      <c r="I21" s="23"/>
      <c r="J21" s="23"/>
      <c r="K21" s="23"/>
      <c r="L21" s="15"/>
    </row>
    <row r="22" spans="3:16">
      <c r="C22" s="15"/>
      <c r="D22" s="16"/>
      <c r="E22" s="23"/>
      <c r="F22" s="23"/>
      <c r="G22" s="15"/>
      <c r="H22" s="15"/>
      <c r="I22" s="23"/>
      <c r="J22" s="23"/>
      <c r="K22" s="23"/>
      <c r="L22" s="15"/>
    </row>
    <row r="23" spans="3:16">
      <c r="C23" s="15"/>
      <c r="D23" s="16"/>
      <c r="E23" s="23"/>
      <c r="F23" s="23"/>
      <c r="G23" s="15"/>
      <c r="H23" s="15"/>
      <c r="I23" s="23"/>
      <c r="J23" s="23"/>
      <c r="K23" s="23"/>
      <c r="L23" s="15"/>
      <c r="M23" s="15"/>
      <c r="N23" s="16"/>
      <c r="O23" s="16"/>
      <c r="P23" s="16"/>
    </row>
    <row r="24" spans="3:16">
      <c r="C24" s="15"/>
      <c r="D24" s="15"/>
      <c r="E24" s="15"/>
      <c r="F24" s="23"/>
      <c r="G24" s="15"/>
      <c r="H24" s="15"/>
      <c r="I24" s="15"/>
      <c r="J24" s="15"/>
      <c r="K24" s="23"/>
      <c r="L24" s="15"/>
    </row>
    <row r="25" spans="3:16">
      <c r="C25" s="15"/>
      <c r="D25" s="15"/>
      <c r="E25" s="15"/>
      <c r="F25" s="23"/>
      <c r="G25" s="15"/>
      <c r="H25" s="15"/>
      <c r="I25" s="15"/>
      <c r="J25" s="15"/>
      <c r="K25" s="23"/>
      <c r="L25" s="15"/>
    </row>
    <row r="26" spans="3:16" ht="15">
      <c r="C26" s="1" t="s">
        <v>54</v>
      </c>
      <c r="H26" s="15"/>
      <c r="I26" s="15"/>
      <c r="J26" s="15"/>
      <c r="K26" s="15"/>
      <c r="L26" s="15"/>
    </row>
    <row r="27" spans="3:16">
      <c r="C27" t="s">
        <v>74</v>
      </c>
      <c r="H27" s="15"/>
      <c r="I27" s="15"/>
      <c r="J27" s="24"/>
      <c r="K27" s="15"/>
      <c r="L27" s="15"/>
    </row>
    <row r="28" spans="3:16">
      <c r="H28" s="15"/>
      <c r="I28" s="15"/>
      <c r="J28" s="15"/>
      <c r="K28" s="15"/>
      <c r="L28" s="15"/>
    </row>
    <row r="30" spans="3:16" ht="28.5">
      <c r="C30" s="4" t="s">
        <v>49</v>
      </c>
      <c r="D30" s="4" t="s">
        <v>48</v>
      </c>
      <c r="E30" s="4" t="s">
        <v>50</v>
      </c>
      <c r="F30" s="4" t="s">
        <v>8</v>
      </c>
      <c r="G30" s="15"/>
    </row>
    <row r="31" spans="3:16">
      <c r="C31" s="3" t="s">
        <v>55</v>
      </c>
      <c r="D31" s="17">
        <f>' 1A Czp - zamówienie podstawowe'!I53/(' 1A Czp - zamówienie podstawowe'!E53+' 1A Czp - zamówienie podstawowe'!G53)</f>
        <v>0</v>
      </c>
      <c r="E31" s="17">
        <f>120000/5</f>
        <v>24000</v>
      </c>
      <c r="F31" s="10">
        <f>D31*E31</f>
        <v>0</v>
      </c>
      <c r="G31" s="15"/>
    </row>
    <row r="32" spans="3:16" ht="57">
      <c r="C32" s="15"/>
      <c r="D32" s="16"/>
      <c r="E32" s="13" t="s">
        <v>59</v>
      </c>
      <c r="F32" s="14"/>
      <c r="G32" s="15"/>
    </row>
    <row r="37" spans="3:6" ht="15">
      <c r="C37" s="1" t="s">
        <v>56</v>
      </c>
    </row>
    <row r="38" spans="3:6">
      <c r="C38" t="s">
        <v>75</v>
      </c>
    </row>
    <row r="41" spans="3:6" ht="28.5">
      <c r="C41" s="4" t="s">
        <v>49</v>
      </c>
      <c r="D41" s="4" t="s">
        <v>48</v>
      </c>
      <c r="E41" s="4" t="s">
        <v>50</v>
      </c>
      <c r="F41" s="4" t="s">
        <v>8</v>
      </c>
    </row>
    <row r="42" spans="3:6">
      <c r="C42" s="3" t="s">
        <v>57</v>
      </c>
      <c r="D42" s="17">
        <f>' 1A Czp - zamówienie podstawowe'!I68/(' 1A Czp - zamówienie podstawowe'!E68+' 1A Czp - zamówienie podstawowe'!G68)</f>
        <v>0</v>
      </c>
      <c r="E42" s="17">
        <f>180000/5</f>
        <v>36000</v>
      </c>
      <c r="F42" s="10">
        <f>D42*E42</f>
        <v>0</v>
      </c>
    </row>
    <row r="43" spans="3:6" ht="57">
      <c r="C43" s="15"/>
      <c r="D43" s="16"/>
      <c r="E43" s="13" t="s">
        <v>58</v>
      </c>
      <c r="F43" s="14"/>
    </row>
    <row r="44" spans="3:6">
      <c r="C44" s="15"/>
      <c r="D44" s="16"/>
      <c r="E44" s="23"/>
      <c r="F44" s="23"/>
    </row>
    <row r="45" spans="3:6">
      <c r="C45" s="15"/>
      <c r="D45" s="16"/>
      <c r="E45" s="23"/>
      <c r="F45" s="23"/>
    </row>
    <row r="46" spans="3:6">
      <c r="C46" s="15"/>
      <c r="D46" s="15"/>
      <c r="E46" s="15"/>
      <c r="F46" s="23"/>
    </row>
    <row r="47" spans="3:6">
      <c r="C47" s="15"/>
      <c r="D47" s="15"/>
      <c r="E47" s="15"/>
      <c r="F47" s="23"/>
    </row>
    <row r="48" spans="3:6" ht="15">
      <c r="C48" s="1" t="s">
        <v>60</v>
      </c>
    </row>
    <row r="49" spans="3:6">
      <c r="C49" t="s">
        <v>76</v>
      </c>
    </row>
    <row r="52" spans="3:6" ht="28.5">
      <c r="C52" s="4" t="s">
        <v>49</v>
      </c>
      <c r="D52" s="4" t="s">
        <v>48</v>
      </c>
      <c r="E52" s="4" t="s">
        <v>50</v>
      </c>
      <c r="F52" s="4" t="s">
        <v>8</v>
      </c>
    </row>
    <row r="53" spans="3:6">
      <c r="C53" s="3" t="s">
        <v>61</v>
      </c>
      <c r="D53" s="17">
        <f>' 1A Czp - zamówienie podstawowe'!I82/(' 1A Czp - zamówienie podstawowe'!E82+' 1A Czp - zamówienie podstawowe'!G82)</f>
        <v>0</v>
      </c>
      <c r="E53" s="17">
        <f>240000/5</f>
        <v>48000</v>
      </c>
      <c r="F53" s="10">
        <f>D53*E53</f>
        <v>0</v>
      </c>
    </row>
    <row r="54" spans="3:6" ht="57">
      <c r="C54" s="15"/>
      <c r="D54" s="16"/>
      <c r="E54" s="13" t="s">
        <v>62</v>
      </c>
      <c r="F54" s="14"/>
    </row>
    <row r="59" spans="3:6" ht="15">
      <c r="C59" s="1" t="s">
        <v>63</v>
      </c>
    </row>
    <row r="60" spans="3:6">
      <c r="C60" t="s">
        <v>77</v>
      </c>
    </row>
    <row r="63" spans="3:6" ht="28.5">
      <c r="C63" s="4" t="s">
        <v>49</v>
      </c>
      <c r="D63" s="4" t="s">
        <v>48</v>
      </c>
      <c r="E63" s="4" t="s">
        <v>50</v>
      </c>
      <c r="F63" s="4" t="s">
        <v>8</v>
      </c>
    </row>
    <row r="64" spans="3:6">
      <c r="C64" s="3" t="s">
        <v>64</v>
      </c>
      <c r="D64" s="17">
        <f>' 1A Czp - zamówienie podstawowe'!I97/(' 1A Czp - zamówienie podstawowe'!E97+' 1A Czp - zamówienie podstawowe'!G97)</f>
        <v>0</v>
      </c>
      <c r="E64" s="17">
        <f>240000/5</f>
        <v>48000</v>
      </c>
      <c r="F64" s="10">
        <f>D64*E64</f>
        <v>0</v>
      </c>
    </row>
    <row r="65" spans="3:6" ht="57">
      <c r="C65" s="15"/>
      <c r="D65" s="16"/>
      <c r="E65" s="13" t="s">
        <v>65</v>
      </c>
      <c r="F65" s="14"/>
    </row>
    <row r="70" spans="3:6" ht="15">
      <c r="C70" s="1" t="s">
        <v>93</v>
      </c>
    </row>
    <row r="71" spans="3:6">
      <c r="C71" t="s">
        <v>94</v>
      </c>
    </row>
    <row r="74" spans="3:6" ht="28.5">
      <c r="C74" s="4" t="s">
        <v>49</v>
      </c>
      <c r="D74" s="4" t="s">
        <v>48</v>
      </c>
      <c r="E74" s="4" t="s">
        <v>50</v>
      </c>
      <c r="F74" s="4" t="s">
        <v>8</v>
      </c>
    </row>
    <row r="75" spans="3:6">
      <c r="C75" s="3" t="s">
        <v>95</v>
      </c>
      <c r="D75" s="17">
        <f>' 1A Czp - zamówienie podstawowe'!G113/' 1A Czp - zamówienie podstawowe'!E113</f>
        <v>0</v>
      </c>
      <c r="E75" s="17">
        <f>60000/5</f>
        <v>12000</v>
      </c>
      <c r="F75" s="10">
        <f>D75*E75</f>
        <v>0</v>
      </c>
    </row>
    <row r="76" spans="3:6" ht="57">
      <c r="C76" s="15"/>
      <c r="D76" s="16"/>
      <c r="E76" s="13" t="s">
        <v>65</v>
      </c>
      <c r="F76" s="14"/>
    </row>
  </sheetData>
  <mergeCells count="1">
    <mergeCell ref="C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F78FF-E339-4587-BCA1-50194EB3A633}">
  <dimension ref="C2:S113"/>
  <sheetViews>
    <sheetView workbookViewId="0">
      <selection activeCell="E20" sqref="E20"/>
    </sheetView>
  </sheetViews>
  <sheetFormatPr defaultRowHeight="14.25"/>
  <cols>
    <col min="3" max="3" width="14.375" bestFit="1" customWidth="1"/>
    <col min="4" max="4" width="12.625" bestFit="1" customWidth="1"/>
    <col min="5" max="5" width="11.375" bestFit="1" customWidth="1"/>
    <col min="6" max="6" width="13.375" bestFit="1" customWidth="1"/>
    <col min="7" max="7" width="14.375" bestFit="1" customWidth="1"/>
    <col min="9" max="10" width="14.375" bestFit="1" customWidth="1"/>
    <col min="14" max="14" width="15.625" customWidth="1"/>
    <col min="15" max="15" width="14.625" customWidth="1"/>
    <col min="16" max="16" width="10.375" customWidth="1"/>
    <col min="17" max="17" width="11.125" customWidth="1"/>
    <col min="19" max="19" width="11.5" customWidth="1"/>
  </cols>
  <sheetData>
    <row r="2" spans="3:19" ht="15">
      <c r="C2" s="26" t="s">
        <v>97</v>
      </c>
      <c r="D2" s="26"/>
      <c r="E2" s="26"/>
      <c r="F2" s="26"/>
      <c r="G2" s="26"/>
    </row>
    <row r="4" spans="3:19" ht="15">
      <c r="C4" s="1" t="s">
        <v>40</v>
      </c>
    </row>
    <row r="5" spans="3:19" ht="15">
      <c r="C5" s="19" t="s">
        <v>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3:19" ht="15" thickBot="1"/>
    <row r="7" spans="3:19" ht="18">
      <c r="C7" s="2" t="s">
        <v>0</v>
      </c>
      <c r="O7" s="27" t="s">
        <v>78</v>
      </c>
      <c r="P7" s="28"/>
      <c r="Q7" s="28"/>
      <c r="R7" s="29"/>
      <c r="S7" s="33"/>
    </row>
    <row r="8" spans="3:19" ht="15" thickBot="1">
      <c r="C8" t="s">
        <v>71</v>
      </c>
      <c r="O8" s="30"/>
      <c r="P8" s="31"/>
      <c r="Q8" s="31"/>
      <c r="R8" s="32"/>
      <c r="S8" s="34"/>
    </row>
    <row r="9" spans="3:19" ht="12.75" customHeight="1">
      <c r="O9" s="27" t="s">
        <v>68</v>
      </c>
      <c r="P9" s="28"/>
      <c r="Q9" s="28"/>
      <c r="R9" s="29"/>
      <c r="S9" s="33"/>
    </row>
    <row r="10" spans="3:19" ht="27.75" customHeight="1" thickBot="1"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39</v>
      </c>
      <c r="I10" s="4" t="s">
        <v>91</v>
      </c>
      <c r="J10" s="5" t="s">
        <v>6</v>
      </c>
      <c r="O10" s="30"/>
      <c r="P10" s="31"/>
      <c r="Q10" s="31"/>
      <c r="R10" s="32"/>
      <c r="S10" s="34"/>
    </row>
    <row r="11" spans="3:19" ht="14.25" customHeight="1">
      <c r="C11" s="9">
        <f>G23</f>
        <v>0</v>
      </c>
      <c r="D11" s="9">
        <f>I38</f>
        <v>0</v>
      </c>
      <c r="E11" s="9">
        <f>I53</f>
        <v>0</v>
      </c>
      <c r="F11" s="9">
        <f>I68</f>
        <v>0</v>
      </c>
      <c r="G11" s="9">
        <f>I82</f>
        <v>0</v>
      </c>
      <c r="H11" s="9">
        <f>I97</f>
        <v>0</v>
      </c>
      <c r="I11" s="9">
        <f>G113</f>
        <v>0</v>
      </c>
      <c r="J11" s="9">
        <f>SUM(C11:I11)</f>
        <v>0</v>
      </c>
      <c r="O11" s="27" t="s">
        <v>79</v>
      </c>
      <c r="P11" s="28"/>
      <c r="Q11" s="28"/>
      <c r="R11" s="29"/>
      <c r="S11" s="33"/>
    </row>
    <row r="12" spans="3:19" ht="15" thickBot="1">
      <c r="O12" s="30"/>
      <c r="P12" s="31"/>
      <c r="Q12" s="31"/>
      <c r="R12" s="32"/>
      <c r="S12" s="34"/>
    </row>
    <row r="13" spans="3:19" ht="15" customHeight="1">
      <c r="C13" s="1" t="s">
        <v>17</v>
      </c>
      <c r="O13" s="27" t="s">
        <v>80</v>
      </c>
      <c r="P13" s="28"/>
      <c r="Q13" s="28"/>
      <c r="R13" s="29"/>
      <c r="S13" s="33"/>
    </row>
    <row r="14" spans="3:19" ht="15" thickBot="1">
      <c r="C14" t="s">
        <v>38</v>
      </c>
      <c r="O14" s="30"/>
      <c r="P14" s="31"/>
      <c r="Q14" s="31"/>
      <c r="R14" s="32"/>
      <c r="S14" s="34"/>
    </row>
    <row r="15" spans="3:19">
      <c r="O15" s="27" t="s">
        <v>81</v>
      </c>
      <c r="P15" s="28"/>
      <c r="Q15" s="28"/>
      <c r="R15" s="29"/>
      <c r="S15" s="33"/>
    </row>
    <row r="16" spans="3:19" ht="15" thickBot="1">
      <c r="O16" s="30"/>
      <c r="P16" s="31"/>
      <c r="Q16" s="31"/>
      <c r="R16" s="32"/>
      <c r="S16" s="34"/>
    </row>
    <row r="17" spans="3:19" ht="99.75">
      <c r="C17" s="4" t="s">
        <v>7</v>
      </c>
      <c r="D17" s="4" t="s">
        <v>18</v>
      </c>
      <c r="E17" s="4" t="s">
        <v>19</v>
      </c>
      <c r="F17" s="4" t="s">
        <v>8</v>
      </c>
      <c r="G17" s="4" t="s">
        <v>15</v>
      </c>
      <c r="J17" s="4" t="s">
        <v>7</v>
      </c>
      <c r="K17" s="4" t="s">
        <v>18</v>
      </c>
      <c r="L17" s="4" t="s">
        <v>16</v>
      </c>
    </row>
    <row r="18" spans="3:19">
      <c r="C18" s="3" t="s">
        <v>10</v>
      </c>
      <c r="D18" s="8">
        <f>L18</f>
        <v>0</v>
      </c>
      <c r="E18" s="6">
        <f>6*4737</f>
        <v>28422</v>
      </c>
      <c r="F18" s="8">
        <f>D18*E18</f>
        <v>0</v>
      </c>
      <c r="G18" s="7">
        <f>F18</f>
        <v>0</v>
      </c>
      <c r="I18" s="25"/>
      <c r="J18" s="3" t="s">
        <v>10</v>
      </c>
      <c r="K18" s="10">
        <f>(0.85*0.125*S7)+S7</f>
        <v>0</v>
      </c>
      <c r="L18" s="7"/>
      <c r="O18" s="35" t="s">
        <v>7</v>
      </c>
      <c r="P18" s="35" t="s">
        <v>82</v>
      </c>
      <c r="Q18" s="35" t="s">
        <v>16</v>
      </c>
      <c r="R18" s="37" t="s">
        <v>83</v>
      </c>
      <c r="S18" s="37"/>
    </row>
    <row r="19" spans="3:19" ht="14.25" customHeight="1">
      <c r="C19" s="3" t="s">
        <v>9</v>
      </c>
      <c r="D19" s="8">
        <f>L19</f>
        <v>0</v>
      </c>
      <c r="E19" s="6">
        <f>6*9664</f>
        <v>57984</v>
      </c>
      <c r="F19" s="8">
        <f t="shared" ref="F19:F22" si="0">D19*E19</f>
        <v>0</v>
      </c>
      <c r="G19" s="7">
        <f t="shared" ref="G19:G22" si="1">F19</f>
        <v>0</v>
      </c>
      <c r="I19" s="25"/>
      <c r="J19" s="3" t="s">
        <v>9</v>
      </c>
      <c r="K19" s="10">
        <f>(0.85*0.125*S9)+S9</f>
        <v>0</v>
      </c>
      <c r="L19" s="7"/>
      <c r="O19" s="36"/>
      <c r="P19" s="36"/>
      <c r="Q19" s="36"/>
      <c r="R19" s="37"/>
      <c r="S19" s="37"/>
    </row>
    <row r="20" spans="3:19">
      <c r="C20" s="3" t="s">
        <v>11</v>
      </c>
      <c r="D20" s="8">
        <f>L20</f>
        <v>0</v>
      </c>
      <c r="E20" s="6">
        <f>6*3831</f>
        <v>22986</v>
      </c>
      <c r="F20" s="8">
        <f t="shared" si="0"/>
        <v>0</v>
      </c>
      <c r="G20" s="7">
        <f t="shared" si="1"/>
        <v>0</v>
      </c>
      <c r="I20" s="25"/>
      <c r="J20" s="3" t="s">
        <v>11</v>
      </c>
      <c r="K20" s="10">
        <f>(0.85*0.125*S11)+S11</f>
        <v>0</v>
      </c>
      <c r="L20" s="7"/>
      <c r="N20" s="22"/>
      <c r="O20" s="11" t="s">
        <v>84</v>
      </c>
      <c r="P20" s="6">
        <f>(P21*0.9)+0.01</f>
        <v>0.01</v>
      </c>
      <c r="Q20" s="14"/>
      <c r="R20" s="37"/>
      <c r="S20" s="37"/>
    </row>
    <row r="21" spans="3:19">
      <c r="C21" s="3" t="s">
        <v>12</v>
      </c>
      <c r="D21" s="8">
        <f>L21</f>
        <v>0</v>
      </c>
      <c r="E21" s="6">
        <f>6*4839</f>
        <v>29034</v>
      </c>
      <c r="F21" s="8">
        <f t="shared" si="0"/>
        <v>0</v>
      </c>
      <c r="G21" s="7">
        <f t="shared" si="1"/>
        <v>0</v>
      </c>
      <c r="I21" s="25"/>
      <c r="J21" s="3" t="s">
        <v>12</v>
      </c>
      <c r="K21" s="10">
        <f>(0.85*0.125*S13)+S13</f>
        <v>0</v>
      </c>
      <c r="L21" s="7"/>
      <c r="N21" s="22"/>
      <c r="O21" s="11" t="s">
        <v>85</v>
      </c>
      <c r="P21" s="6">
        <f>((E18*S7)+(E19*S9)+(E20*S11)+(E21*S13)+(E22*S15))/((E18*0.9)+(E19)+(1.15*E20)+(1.25*E21)+(1.35*E22))</f>
        <v>0</v>
      </c>
      <c r="Q21" s="14"/>
      <c r="R21" s="37"/>
      <c r="S21" s="37"/>
    </row>
    <row r="22" spans="3:19">
      <c r="C22" s="3" t="s">
        <v>13</v>
      </c>
      <c r="D22" s="8">
        <f>L22</f>
        <v>0</v>
      </c>
      <c r="E22" s="6">
        <v>0</v>
      </c>
      <c r="F22" s="8">
        <f t="shared" si="0"/>
        <v>0</v>
      </c>
      <c r="G22" s="7">
        <f t="shared" si="1"/>
        <v>0</v>
      </c>
      <c r="I22" s="25"/>
      <c r="J22" s="3" t="s">
        <v>13</v>
      </c>
      <c r="K22" s="10">
        <f>(0.85*0.125*S15)+S15</f>
        <v>0</v>
      </c>
      <c r="L22" s="7"/>
      <c r="N22" s="22"/>
      <c r="O22" s="11" t="s">
        <v>86</v>
      </c>
      <c r="P22" s="6">
        <f>P21*1.15</f>
        <v>0</v>
      </c>
      <c r="Q22" s="14"/>
      <c r="R22" s="37"/>
      <c r="S22" s="37"/>
    </row>
    <row r="23" spans="3:19">
      <c r="D23" s="11" t="s">
        <v>47</v>
      </c>
      <c r="E23" s="6">
        <f>SUM(E18:E22)</f>
        <v>138426</v>
      </c>
      <c r="F23" s="11" t="s">
        <v>14</v>
      </c>
      <c r="G23" s="8">
        <f>SUM(G18:G22)</f>
        <v>0</v>
      </c>
      <c r="I23" s="25"/>
      <c r="N23" s="22"/>
      <c r="O23" s="11" t="s">
        <v>87</v>
      </c>
      <c r="P23" s="6">
        <f>(P21*1.25)</f>
        <v>0</v>
      </c>
      <c r="Q23" s="14"/>
      <c r="R23" s="37"/>
      <c r="S23" s="37"/>
    </row>
    <row r="24" spans="3:19">
      <c r="N24" s="22"/>
      <c r="O24" s="11" t="s">
        <v>88</v>
      </c>
      <c r="P24" s="6">
        <f>P21*1.35</f>
        <v>0</v>
      </c>
      <c r="Q24" s="14"/>
      <c r="R24" s="37"/>
      <c r="S24" s="37"/>
    </row>
    <row r="25" spans="3:19">
      <c r="N25" s="22"/>
    </row>
    <row r="28" spans="3:19" ht="15">
      <c r="C28" s="1" t="s">
        <v>20</v>
      </c>
    </row>
    <row r="29" spans="3:19">
      <c r="C29" t="s">
        <v>37</v>
      </c>
    </row>
    <row r="32" spans="3:19" ht="57">
      <c r="C32" s="4" t="s">
        <v>7</v>
      </c>
      <c r="D32" s="4" t="s">
        <v>18</v>
      </c>
      <c r="E32" s="4" t="s">
        <v>19</v>
      </c>
      <c r="F32" s="4" t="s">
        <v>21</v>
      </c>
      <c r="G32" s="4" t="s">
        <v>22</v>
      </c>
      <c r="H32" s="4" t="s">
        <v>8</v>
      </c>
      <c r="I32" s="4" t="s">
        <v>15</v>
      </c>
      <c r="L32" s="4" t="s">
        <v>7</v>
      </c>
      <c r="M32" s="4" t="s">
        <v>21</v>
      </c>
      <c r="N32" s="4" t="s">
        <v>16</v>
      </c>
    </row>
    <row r="33" spans="3:14">
      <c r="C33" s="3" t="s">
        <v>10</v>
      </c>
      <c r="D33" s="8">
        <f>L18</f>
        <v>0</v>
      </c>
      <c r="E33" s="6">
        <f>E18</f>
        <v>28422</v>
      </c>
      <c r="F33" s="8">
        <f>N33</f>
        <v>0</v>
      </c>
      <c r="G33" s="6">
        <f>E18</f>
        <v>28422</v>
      </c>
      <c r="H33" s="8">
        <f>(D33*E33)+(F33*G33)</f>
        <v>0</v>
      </c>
      <c r="I33" s="7"/>
      <c r="L33" s="3" t="s">
        <v>10</v>
      </c>
      <c r="M33" s="10">
        <f>(0.85*0.125*L18)+L18</f>
        <v>0</v>
      </c>
      <c r="N33" s="7"/>
    </row>
    <row r="34" spans="3:14">
      <c r="C34" s="3" t="s">
        <v>9</v>
      </c>
      <c r="D34" s="8">
        <f t="shared" ref="D34:D37" si="2">L19</f>
        <v>0</v>
      </c>
      <c r="E34" s="6">
        <f t="shared" ref="E34:E37" si="3">E19</f>
        <v>57984</v>
      </c>
      <c r="F34" s="8">
        <f>N34</f>
        <v>0</v>
      </c>
      <c r="G34" s="6">
        <f t="shared" ref="G34:G37" si="4">E19</f>
        <v>57984</v>
      </c>
      <c r="H34" s="8">
        <f t="shared" ref="H34:H37" si="5">(D34*E34)+(F34*G34)</f>
        <v>0</v>
      </c>
      <c r="I34" s="7"/>
      <c r="L34" s="3" t="s">
        <v>9</v>
      </c>
      <c r="M34" s="10">
        <f>(0.85*0.125*L19)+L19</f>
        <v>0</v>
      </c>
      <c r="N34" s="7"/>
    </row>
    <row r="35" spans="3:14">
      <c r="C35" s="3" t="s">
        <v>11</v>
      </c>
      <c r="D35" s="8">
        <f t="shared" si="2"/>
        <v>0</v>
      </c>
      <c r="E35" s="6">
        <f t="shared" si="3"/>
        <v>22986</v>
      </c>
      <c r="F35" s="8">
        <f>N35</f>
        <v>0</v>
      </c>
      <c r="G35" s="6">
        <f t="shared" si="4"/>
        <v>22986</v>
      </c>
      <c r="H35" s="8">
        <f t="shared" si="5"/>
        <v>0</v>
      </c>
      <c r="I35" s="7"/>
      <c r="L35" s="3" t="s">
        <v>11</v>
      </c>
      <c r="M35" s="10">
        <f>(0.85*0.125*L20)+L20</f>
        <v>0</v>
      </c>
      <c r="N35" s="7"/>
    </row>
    <row r="36" spans="3:14">
      <c r="C36" s="3" t="s">
        <v>12</v>
      </c>
      <c r="D36" s="8">
        <f t="shared" si="2"/>
        <v>0</v>
      </c>
      <c r="E36" s="6">
        <f t="shared" si="3"/>
        <v>29034</v>
      </c>
      <c r="F36" s="8">
        <f>N36</f>
        <v>0</v>
      </c>
      <c r="G36" s="6">
        <f t="shared" si="4"/>
        <v>29034</v>
      </c>
      <c r="H36" s="8">
        <f t="shared" si="5"/>
        <v>0</v>
      </c>
      <c r="I36" s="7"/>
      <c r="L36" s="3" t="s">
        <v>12</v>
      </c>
      <c r="M36" s="10">
        <f>(0.85*0.125*L21)+L21</f>
        <v>0</v>
      </c>
      <c r="N36" s="7"/>
    </row>
    <row r="37" spans="3:14">
      <c r="C37" s="3" t="s">
        <v>13</v>
      </c>
      <c r="D37" s="8">
        <f t="shared" si="2"/>
        <v>0</v>
      </c>
      <c r="E37" s="6">
        <f t="shared" si="3"/>
        <v>0</v>
      </c>
      <c r="F37" s="8">
        <f>N37</f>
        <v>0</v>
      </c>
      <c r="G37" s="6">
        <f t="shared" si="4"/>
        <v>0</v>
      </c>
      <c r="H37" s="8">
        <f t="shared" si="5"/>
        <v>0</v>
      </c>
      <c r="I37" s="7"/>
      <c r="L37" s="3" t="s">
        <v>13</v>
      </c>
      <c r="M37" s="10">
        <f>(0.85*0.125*L22)+L22</f>
        <v>0</v>
      </c>
      <c r="N37" s="7"/>
    </row>
    <row r="38" spans="3:14">
      <c r="D38" s="11" t="s">
        <v>47</v>
      </c>
      <c r="E38" s="6">
        <f>SUM(E33:E37)</f>
        <v>138426</v>
      </c>
      <c r="F38" s="11" t="s">
        <v>47</v>
      </c>
      <c r="G38" s="6">
        <f>SUM(G33:G37)</f>
        <v>138426</v>
      </c>
      <c r="H38" s="11" t="s">
        <v>14</v>
      </c>
      <c r="I38" s="8">
        <f>SUM(I33:I37)</f>
        <v>0</v>
      </c>
    </row>
    <row r="43" spans="3:14" ht="15">
      <c r="C43" s="1" t="s">
        <v>23</v>
      </c>
    </row>
    <row r="44" spans="3:14">
      <c r="C44" t="s">
        <v>36</v>
      </c>
    </row>
    <row r="47" spans="3:14" ht="57">
      <c r="C47" s="4" t="s">
        <v>7</v>
      </c>
      <c r="D47" s="4" t="s">
        <v>21</v>
      </c>
      <c r="E47" s="4" t="s">
        <v>22</v>
      </c>
      <c r="F47" s="4" t="s">
        <v>24</v>
      </c>
      <c r="G47" s="4" t="s">
        <v>25</v>
      </c>
      <c r="H47" s="4" t="s">
        <v>8</v>
      </c>
      <c r="I47" s="4" t="s">
        <v>15</v>
      </c>
      <c r="L47" s="4" t="s">
        <v>7</v>
      </c>
      <c r="M47" s="4" t="s">
        <v>24</v>
      </c>
      <c r="N47" s="4" t="s">
        <v>16</v>
      </c>
    </row>
    <row r="48" spans="3:14">
      <c r="C48" s="3" t="s">
        <v>10</v>
      </c>
      <c r="D48" s="8">
        <f>N33</f>
        <v>0</v>
      </c>
      <c r="E48" s="6">
        <f>E33</f>
        <v>28422</v>
      </c>
      <c r="F48" s="8">
        <f>N48</f>
        <v>0</v>
      </c>
      <c r="G48" s="6">
        <f>G33</f>
        <v>28422</v>
      </c>
      <c r="H48" s="8">
        <f>(D48*E48)+(F48*G48)</f>
        <v>0</v>
      </c>
      <c r="I48" s="7"/>
      <c r="L48" s="3" t="s">
        <v>10</v>
      </c>
      <c r="M48" s="10">
        <f>(0.85*0.125*N33)+N33</f>
        <v>0</v>
      </c>
      <c r="N48" s="7"/>
    </row>
    <row r="49" spans="3:14">
      <c r="C49" s="3" t="s">
        <v>9</v>
      </c>
      <c r="D49" s="8">
        <f t="shared" ref="D49:D52" si="6">N34</f>
        <v>0</v>
      </c>
      <c r="E49" s="6">
        <f t="shared" ref="E49:E52" si="7">E34</f>
        <v>57984</v>
      </c>
      <c r="F49" s="8">
        <f>N49</f>
        <v>0</v>
      </c>
      <c r="G49" s="6">
        <f t="shared" ref="G49:G52" si="8">G34</f>
        <v>57984</v>
      </c>
      <c r="H49" s="8">
        <f t="shared" ref="H49:H52" si="9">(D49*E49)+(F49*G49)</f>
        <v>0</v>
      </c>
      <c r="I49" s="7"/>
      <c r="L49" s="3" t="s">
        <v>9</v>
      </c>
      <c r="M49" s="10">
        <f>(0.85*0.125*N34)+N34</f>
        <v>0</v>
      </c>
      <c r="N49" s="7"/>
    </row>
    <row r="50" spans="3:14">
      <c r="C50" s="3" t="s">
        <v>11</v>
      </c>
      <c r="D50" s="8">
        <f t="shared" si="6"/>
        <v>0</v>
      </c>
      <c r="E50" s="6">
        <f t="shared" si="7"/>
        <v>22986</v>
      </c>
      <c r="F50" s="8">
        <f>N50</f>
        <v>0</v>
      </c>
      <c r="G50" s="6">
        <f t="shared" si="8"/>
        <v>22986</v>
      </c>
      <c r="H50" s="8">
        <f t="shared" si="9"/>
        <v>0</v>
      </c>
      <c r="I50" s="7"/>
      <c r="L50" s="3" t="s">
        <v>11</v>
      </c>
      <c r="M50" s="10">
        <f>(0.85*0.125*N35)+N35</f>
        <v>0</v>
      </c>
      <c r="N50" s="7"/>
    </row>
    <row r="51" spans="3:14">
      <c r="C51" s="3" t="s">
        <v>12</v>
      </c>
      <c r="D51" s="8">
        <f t="shared" si="6"/>
        <v>0</v>
      </c>
      <c r="E51" s="6">
        <f t="shared" si="7"/>
        <v>29034</v>
      </c>
      <c r="F51" s="8">
        <f>N51</f>
        <v>0</v>
      </c>
      <c r="G51" s="6">
        <f t="shared" si="8"/>
        <v>29034</v>
      </c>
      <c r="H51" s="8">
        <f t="shared" si="9"/>
        <v>0</v>
      </c>
      <c r="I51" s="7"/>
      <c r="L51" s="3" t="s">
        <v>12</v>
      </c>
      <c r="M51" s="10">
        <f>(0.85*0.125*N36)+N36</f>
        <v>0</v>
      </c>
      <c r="N51" s="7"/>
    </row>
    <row r="52" spans="3:14">
      <c r="C52" s="3" t="s">
        <v>13</v>
      </c>
      <c r="D52" s="8">
        <f t="shared" si="6"/>
        <v>0</v>
      </c>
      <c r="E52" s="6">
        <f t="shared" si="7"/>
        <v>0</v>
      </c>
      <c r="F52" s="8">
        <f>N52</f>
        <v>0</v>
      </c>
      <c r="G52" s="6">
        <f t="shared" si="8"/>
        <v>0</v>
      </c>
      <c r="H52" s="8">
        <f t="shared" si="9"/>
        <v>0</v>
      </c>
      <c r="I52" s="7"/>
      <c r="L52" s="3" t="s">
        <v>13</v>
      </c>
      <c r="M52" s="10">
        <f>(0.85*0.125*N37)+N37</f>
        <v>0</v>
      </c>
      <c r="N52" s="7"/>
    </row>
    <row r="53" spans="3:14">
      <c r="D53" s="11" t="s">
        <v>47</v>
      </c>
      <c r="E53" s="6">
        <f>SUM(E48:E52)</f>
        <v>138426</v>
      </c>
      <c r="F53" s="11" t="s">
        <v>47</v>
      </c>
      <c r="G53" s="6">
        <f>SUM(G48:G52)</f>
        <v>138426</v>
      </c>
      <c r="H53" s="11" t="s">
        <v>14</v>
      </c>
      <c r="I53" s="8">
        <f>SUM(I48:I52)</f>
        <v>0</v>
      </c>
    </row>
    <row r="58" spans="3:14" ht="15">
      <c r="C58" s="1" t="s">
        <v>26</v>
      </c>
    </row>
    <row r="59" spans="3:14">
      <c r="C59" t="s">
        <v>35</v>
      </c>
    </row>
    <row r="62" spans="3:14" ht="57">
      <c r="C62" s="4" t="s">
        <v>7</v>
      </c>
      <c r="D62" s="4" t="s">
        <v>24</v>
      </c>
      <c r="E62" s="4" t="s">
        <v>25</v>
      </c>
      <c r="F62" s="4" t="s">
        <v>27</v>
      </c>
      <c r="G62" s="4" t="s">
        <v>28</v>
      </c>
      <c r="H62" s="4" t="s">
        <v>8</v>
      </c>
      <c r="I62" s="4" t="s">
        <v>15</v>
      </c>
      <c r="L62" s="4" t="s">
        <v>7</v>
      </c>
      <c r="M62" s="4" t="s">
        <v>27</v>
      </c>
      <c r="N62" s="4" t="s">
        <v>16</v>
      </c>
    </row>
    <row r="63" spans="3:14">
      <c r="C63" s="3" t="s">
        <v>10</v>
      </c>
      <c r="D63" s="8">
        <f>N48</f>
        <v>0</v>
      </c>
      <c r="E63" s="6">
        <f>E48</f>
        <v>28422</v>
      </c>
      <c r="F63" s="8">
        <f>N63</f>
        <v>0</v>
      </c>
      <c r="G63" s="6">
        <f>G48</f>
        <v>28422</v>
      </c>
      <c r="H63" s="8">
        <f>(D63*E63)+(F63*G63)</f>
        <v>0</v>
      </c>
      <c r="I63" s="7"/>
      <c r="L63" s="3" t="s">
        <v>10</v>
      </c>
      <c r="M63" s="10">
        <f>(0.85*0.125*N48)+N48</f>
        <v>0</v>
      </c>
      <c r="N63" s="7"/>
    </row>
    <row r="64" spans="3:14">
      <c r="C64" s="3" t="s">
        <v>9</v>
      </c>
      <c r="D64" s="8">
        <f t="shared" ref="D64:D67" si="10">N49</f>
        <v>0</v>
      </c>
      <c r="E64" s="6">
        <f t="shared" ref="E64:E67" si="11">E49</f>
        <v>57984</v>
      </c>
      <c r="F64" s="8">
        <f>N64</f>
        <v>0</v>
      </c>
      <c r="G64" s="6">
        <f t="shared" ref="G64:G67" si="12">G49</f>
        <v>57984</v>
      </c>
      <c r="H64" s="8">
        <f t="shared" ref="H64:H67" si="13">(D64*E64)+(F64*G64)</f>
        <v>0</v>
      </c>
      <c r="I64" s="7"/>
      <c r="L64" s="3" t="s">
        <v>9</v>
      </c>
      <c r="M64" s="10">
        <f>(0.85*0.125*N49)+N49</f>
        <v>0</v>
      </c>
      <c r="N64" s="7"/>
    </row>
    <row r="65" spans="3:14">
      <c r="C65" s="3" t="s">
        <v>11</v>
      </c>
      <c r="D65" s="8">
        <f t="shared" si="10"/>
        <v>0</v>
      </c>
      <c r="E65" s="6">
        <f t="shared" si="11"/>
        <v>22986</v>
      </c>
      <c r="F65" s="8">
        <f>N65</f>
        <v>0</v>
      </c>
      <c r="G65" s="6">
        <f t="shared" si="12"/>
        <v>22986</v>
      </c>
      <c r="H65" s="8">
        <f t="shared" si="13"/>
        <v>0</v>
      </c>
      <c r="I65" s="7"/>
      <c r="L65" s="3" t="s">
        <v>11</v>
      </c>
      <c r="M65" s="10">
        <f>(0.85*0.125*N50)+N50</f>
        <v>0</v>
      </c>
      <c r="N65" s="7"/>
    </row>
    <row r="66" spans="3:14">
      <c r="C66" s="3" t="s">
        <v>12</v>
      </c>
      <c r="D66" s="8">
        <f t="shared" si="10"/>
        <v>0</v>
      </c>
      <c r="E66" s="6">
        <f t="shared" si="11"/>
        <v>29034</v>
      </c>
      <c r="F66" s="8">
        <f>N66</f>
        <v>0</v>
      </c>
      <c r="G66" s="6">
        <f t="shared" si="12"/>
        <v>29034</v>
      </c>
      <c r="H66" s="8">
        <f t="shared" si="13"/>
        <v>0</v>
      </c>
      <c r="I66" s="7"/>
      <c r="L66" s="3" t="s">
        <v>12</v>
      </c>
      <c r="M66" s="10">
        <f>(0.85*0.125*N51)+N51</f>
        <v>0</v>
      </c>
      <c r="N66" s="7"/>
    </row>
    <row r="67" spans="3:14">
      <c r="C67" s="3" t="s">
        <v>13</v>
      </c>
      <c r="D67" s="8">
        <f t="shared" si="10"/>
        <v>0</v>
      </c>
      <c r="E67" s="6">
        <f t="shared" si="11"/>
        <v>0</v>
      </c>
      <c r="F67" s="8">
        <f>N67</f>
        <v>0</v>
      </c>
      <c r="G67" s="6">
        <f t="shared" si="12"/>
        <v>0</v>
      </c>
      <c r="H67" s="8">
        <f t="shared" si="13"/>
        <v>0</v>
      </c>
      <c r="I67" s="7"/>
      <c r="L67" s="3" t="s">
        <v>13</v>
      </c>
      <c r="M67" s="10">
        <f>(0.85*0.125*N52)+N52</f>
        <v>0</v>
      </c>
      <c r="N67" s="7"/>
    </row>
    <row r="68" spans="3:14">
      <c r="D68" s="11" t="s">
        <v>47</v>
      </c>
      <c r="E68" s="6">
        <f>SUM(E63:E67)</f>
        <v>138426</v>
      </c>
      <c r="F68" s="11" t="s">
        <v>47</v>
      </c>
      <c r="G68" s="6">
        <f>SUM(G63:G67)</f>
        <v>138426</v>
      </c>
      <c r="H68" s="11" t="s">
        <v>14</v>
      </c>
      <c r="I68" s="8">
        <f>SUM(I63:I67)</f>
        <v>0</v>
      </c>
    </row>
    <row r="72" spans="3:14" ht="15">
      <c r="C72" s="1" t="s">
        <v>29</v>
      </c>
    </row>
    <row r="73" spans="3:14">
      <c r="C73" t="s">
        <v>34</v>
      </c>
    </row>
    <row r="76" spans="3:14" ht="57">
      <c r="C76" s="4" t="s">
        <v>7</v>
      </c>
      <c r="D76" s="4" t="s">
        <v>27</v>
      </c>
      <c r="E76" s="4" t="s">
        <v>28</v>
      </c>
      <c r="F76" s="4" t="s">
        <v>31</v>
      </c>
      <c r="G76" s="4" t="s">
        <v>32</v>
      </c>
      <c r="H76" s="4" t="s">
        <v>8</v>
      </c>
      <c r="I76" s="4" t="s">
        <v>15</v>
      </c>
      <c r="L76" s="4" t="s">
        <v>7</v>
      </c>
      <c r="M76" s="4" t="s">
        <v>31</v>
      </c>
      <c r="N76" s="4" t="s">
        <v>16</v>
      </c>
    </row>
    <row r="77" spans="3:14">
      <c r="C77" s="3" t="s">
        <v>10</v>
      </c>
      <c r="D77" s="8">
        <f>N63</f>
        <v>0</v>
      </c>
      <c r="E77" s="6">
        <f>E63</f>
        <v>28422</v>
      </c>
      <c r="F77" s="8">
        <f>N77</f>
        <v>0</v>
      </c>
      <c r="G77" s="6">
        <f>G63</f>
        <v>28422</v>
      </c>
      <c r="H77" s="8">
        <f>(D77*E77)+(F77*G77)</f>
        <v>0</v>
      </c>
      <c r="I77" s="7"/>
      <c r="L77" s="3" t="s">
        <v>10</v>
      </c>
      <c r="M77" s="10">
        <f>(0.85*0.125*N63)+N63</f>
        <v>0</v>
      </c>
      <c r="N77" s="7"/>
    </row>
    <row r="78" spans="3:14">
      <c r="C78" s="3" t="s">
        <v>9</v>
      </c>
      <c r="D78" s="8">
        <f t="shared" ref="D78:D81" si="14">N64</f>
        <v>0</v>
      </c>
      <c r="E78" s="6">
        <f t="shared" ref="E78:E81" si="15">E64</f>
        <v>57984</v>
      </c>
      <c r="F78" s="8">
        <f>N78</f>
        <v>0</v>
      </c>
      <c r="G78" s="6">
        <f t="shared" ref="G78:G81" si="16">G64</f>
        <v>57984</v>
      </c>
      <c r="H78" s="8">
        <f t="shared" ref="H78:H81" si="17">(D78*E78)+(F78*G78)</f>
        <v>0</v>
      </c>
      <c r="I78" s="7"/>
      <c r="L78" s="3" t="s">
        <v>9</v>
      </c>
      <c r="M78" s="10">
        <f>(0.85*0.125*N64)+N64</f>
        <v>0</v>
      </c>
      <c r="N78" s="7"/>
    </row>
    <row r="79" spans="3:14">
      <c r="C79" s="3" t="s">
        <v>11</v>
      </c>
      <c r="D79" s="8">
        <f t="shared" si="14"/>
        <v>0</v>
      </c>
      <c r="E79" s="6">
        <f t="shared" si="15"/>
        <v>22986</v>
      </c>
      <c r="F79" s="8">
        <f>N79</f>
        <v>0</v>
      </c>
      <c r="G79" s="6">
        <f t="shared" si="16"/>
        <v>22986</v>
      </c>
      <c r="H79" s="8">
        <f t="shared" si="17"/>
        <v>0</v>
      </c>
      <c r="I79" s="7"/>
      <c r="L79" s="3" t="s">
        <v>11</v>
      </c>
      <c r="M79" s="10">
        <f>(0.85*0.125*N65)+N65</f>
        <v>0</v>
      </c>
      <c r="N79" s="7"/>
    </row>
    <row r="80" spans="3:14">
      <c r="C80" s="3" t="s">
        <v>12</v>
      </c>
      <c r="D80" s="8">
        <f t="shared" si="14"/>
        <v>0</v>
      </c>
      <c r="E80" s="6">
        <f t="shared" si="15"/>
        <v>29034</v>
      </c>
      <c r="F80" s="8">
        <f>N80</f>
        <v>0</v>
      </c>
      <c r="G80" s="6">
        <f t="shared" si="16"/>
        <v>29034</v>
      </c>
      <c r="H80" s="8">
        <f t="shared" si="17"/>
        <v>0</v>
      </c>
      <c r="I80" s="7"/>
      <c r="L80" s="3" t="s">
        <v>12</v>
      </c>
      <c r="M80" s="10">
        <f>(0.85*0.125*N66)+N66</f>
        <v>0</v>
      </c>
      <c r="N80" s="7"/>
    </row>
    <row r="81" spans="3:14">
      <c r="C81" s="3" t="s">
        <v>13</v>
      </c>
      <c r="D81" s="8">
        <f t="shared" si="14"/>
        <v>0</v>
      </c>
      <c r="E81" s="6">
        <f t="shared" si="15"/>
        <v>0</v>
      </c>
      <c r="F81" s="8">
        <f>N81</f>
        <v>0</v>
      </c>
      <c r="G81" s="6">
        <f t="shared" si="16"/>
        <v>0</v>
      </c>
      <c r="H81" s="8">
        <f t="shared" si="17"/>
        <v>0</v>
      </c>
      <c r="I81" s="7"/>
      <c r="L81" s="3" t="s">
        <v>13</v>
      </c>
      <c r="M81" s="10">
        <f>(0.85*0.125*N67)+N67</f>
        <v>0</v>
      </c>
      <c r="N81" s="7"/>
    </row>
    <row r="82" spans="3:14">
      <c r="D82" s="11" t="s">
        <v>47</v>
      </c>
      <c r="E82" s="6">
        <f>SUM(E77:E81)</f>
        <v>138426</v>
      </c>
      <c r="F82" s="11" t="s">
        <v>47</v>
      </c>
      <c r="G82" s="6">
        <f>SUM(G77:G81)</f>
        <v>138426</v>
      </c>
      <c r="H82" s="11" t="s">
        <v>14</v>
      </c>
      <c r="I82" s="8">
        <f>SUM(I77:I81)</f>
        <v>0</v>
      </c>
    </row>
    <row r="87" spans="3:14" ht="15">
      <c r="C87" s="1" t="s">
        <v>30</v>
      </c>
    </row>
    <row r="88" spans="3:14">
      <c r="C88" t="s">
        <v>33</v>
      </c>
    </row>
    <row r="91" spans="3:14" ht="57">
      <c r="C91" s="4" t="s">
        <v>7</v>
      </c>
      <c r="D91" s="4" t="s">
        <v>24</v>
      </c>
      <c r="E91" s="4" t="s">
        <v>25</v>
      </c>
      <c r="F91" s="4" t="s">
        <v>69</v>
      </c>
      <c r="G91" s="4" t="s">
        <v>70</v>
      </c>
      <c r="H91" s="4" t="s">
        <v>8</v>
      </c>
      <c r="I91" s="4" t="s">
        <v>15</v>
      </c>
      <c r="L91" s="4" t="s">
        <v>7</v>
      </c>
      <c r="M91" s="4" t="s">
        <v>69</v>
      </c>
      <c r="N91" s="4" t="s">
        <v>16</v>
      </c>
    </row>
    <row r="92" spans="3:14">
      <c r="C92" s="3" t="s">
        <v>10</v>
      </c>
      <c r="D92" s="8">
        <f>N77</f>
        <v>0</v>
      </c>
      <c r="E92" s="6">
        <f>E77</f>
        <v>28422</v>
      </c>
      <c r="F92" s="8">
        <f>N92</f>
        <v>0</v>
      </c>
      <c r="G92" s="6">
        <f>G77</f>
        <v>28422</v>
      </c>
      <c r="H92" s="8">
        <f>(D92*E92)+(F92*G92)</f>
        <v>0</v>
      </c>
      <c r="I92" s="7"/>
      <c r="L92" s="3" t="s">
        <v>10</v>
      </c>
      <c r="M92" s="10">
        <f>(0.85*0.125*N77)+N77</f>
        <v>0</v>
      </c>
      <c r="N92" s="7"/>
    </row>
    <row r="93" spans="3:14">
      <c r="C93" s="3" t="s">
        <v>9</v>
      </c>
      <c r="D93" s="8">
        <f t="shared" ref="D93:D96" si="18">N78</f>
        <v>0</v>
      </c>
      <c r="E93" s="6">
        <f t="shared" ref="E93:E96" si="19">E78</f>
        <v>57984</v>
      </c>
      <c r="F93" s="8">
        <f>N93</f>
        <v>0</v>
      </c>
      <c r="G93" s="6">
        <f t="shared" ref="G93:G96" si="20">G78</f>
        <v>57984</v>
      </c>
      <c r="H93" s="8">
        <f t="shared" ref="H93:H96" si="21">(D93*E93)+(F93*G93)</f>
        <v>0</v>
      </c>
      <c r="I93" s="7"/>
      <c r="L93" s="3" t="s">
        <v>9</v>
      </c>
      <c r="M93" s="10">
        <f>(0.85*0.125*N78)+N78</f>
        <v>0</v>
      </c>
      <c r="N93" s="7"/>
    </row>
    <row r="94" spans="3:14">
      <c r="C94" s="3" t="s">
        <v>11</v>
      </c>
      <c r="D94" s="8">
        <f t="shared" si="18"/>
        <v>0</v>
      </c>
      <c r="E94" s="6">
        <f t="shared" si="19"/>
        <v>22986</v>
      </c>
      <c r="F94" s="8">
        <f>N94</f>
        <v>0</v>
      </c>
      <c r="G94" s="6">
        <f t="shared" si="20"/>
        <v>22986</v>
      </c>
      <c r="H94" s="8">
        <f t="shared" si="21"/>
        <v>0</v>
      </c>
      <c r="I94" s="7"/>
      <c r="L94" s="3" t="s">
        <v>11</v>
      </c>
      <c r="M94" s="10">
        <f>(0.85*0.125*N79)+N79</f>
        <v>0</v>
      </c>
      <c r="N94" s="7"/>
    </row>
    <row r="95" spans="3:14">
      <c r="C95" s="3" t="s">
        <v>12</v>
      </c>
      <c r="D95" s="8">
        <f t="shared" si="18"/>
        <v>0</v>
      </c>
      <c r="E95" s="6">
        <f t="shared" si="19"/>
        <v>29034</v>
      </c>
      <c r="F95" s="8">
        <f>N95</f>
        <v>0</v>
      </c>
      <c r="G95" s="6">
        <f t="shared" si="20"/>
        <v>29034</v>
      </c>
      <c r="H95" s="8">
        <f t="shared" si="21"/>
        <v>0</v>
      </c>
      <c r="I95" s="7"/>
      <c r="L95" s="3" t="s">
        <v>12</v>
      </c>
      <c r="M95" s="10">
        <f>(0.85*0.125*N80)+N80</f>
        <v>0</v>
      </c>
      <c r="N95" s="7"/>
    </row>
    <row r="96" spans="3:14">
      <c r="C96" s="3" t="s">
        <v>13</v>
      </c>
      <c r="D96" s="8">
        <f t="shared" si="18"/>
        <v>0</v>
      </c>
      <c r="E96" s="6">
        <f t="shared" si="19"/>
        <v>0</v>
      </c>
      <c r="F96" s="8">
        <f>N96</f>
        <v>0</v>
      </c>
      <c r="G96" s="6">
        <f t="shared" si="20"/>
        <v>0</v>
      </c>
      <c r="H96" s="8">
        <f t="shared" si="21"/>
        <v>0</v>
      </c>
      <c r="I96" s="7"/>
      <c r="L96" s="3" t="s">
        <v>13</v>
      </c>
      <c r="M96" s="10">
        <f>(0.85*0.125*N81)+N81</f>
        <v>0</v>
      </c>
      <c r="N96" s="7"/>
    </row>
    <row r="97" spans="3:9">
      <c r="D97" s="11" t="s">
        <v>47</v>
      </c>
      <c r="E97" s="6">
        <f>SUM(E92:E96)</f>
        <v>138426</v>
      </c>
      <c r="F97" s="11" t="s">
        <v>47</v>
      </c>
      <c r="G97" s="6">
        <f>SUM(G92:G96)</f>
        <v>138426</v>
      </c>
      <c r="H97" s="11" t="s">
        <v>14</v>
      </c>
      <c r="I97" s="8">
        <f>SUM(I92:I96)</f>
        <v>0</v>
      </c>
    </row>
    <row r="103" spans="3:9" ht="15">
      <c r="C103" s="1" t="s">
        <v>89</v>
      </c>
    </row>
    <row r="104" spans="3:9">
      <c r="C104" t="s">
        <v>90</v>
      </c>
    </row>
    <row r="107" spans="3:9" ht="57">
      <c r="C107" s="4" t="s">
        <v>7</v>
      </c>
      <c r="D107" s="4" t="s">
        <v>69</v>
      </c>
      <c r="E107" s="4" t="s">
        <v>70</v>
      </c>
      <c r="F107" s="4" t="s">
        <v>8</v>
      </c>
      <c r="G107" s="4" t="s">
        <v>15</v>
      </c>
    </row>
    <row r="108" spans="3:9">
      <c r="C108" s="3" t="s">
        <v>10</v>
      </c>
      <c r="D108" s="8">
        <f>N92</f>
        <v>0</v>
      </c>
      <c r="E108" s="6">
        <f>E92</f>
        <v>28422</v>
      </c>
      <c r="F108" s="8">
        <f>D108*E108</f>
        <v>0</v>
      </c>
      <c r="G108" s="7"/>
    </row>
    <row r="109" spans="3:9">
      <c r="C109" s="3" t="s">
        <v>9</v>
      </c>
      <c r="D109" s="8">
        <f>N93</f>
        <v>0</v>
      </c>
      <c r="E109" s="6">
        <f t="shared" ref="E109:E112" si="22">E93</f>
        <v>57984</v>
      </c>
      <c r="F109" s="8">
        <f>D109*E109</f>
        <v>0</v>
      </c>
      <c r="G109" s="7"/>
    </row>
    <row r="110" spans="3:9">
      <c r="C110" s="3" t="s">
        <v>11</v>
      </c>
      <c r="D110" s="8">
        <f>N94</f>
        <v>0</v>
      </c>
      <c r="E110" s="6">
        <f t="shared" si="22"/>
        <v>22986</v>
      </c>
      <c r="F110" s="8">
        <f t="shared" ref="F110:F112" si="23">D110*E110</f>
        <v>0</v>
      </c>
      <c r="G110" s="7"/>
    </row>
    <row r="111" spans="3:9">
      <c r="C111" s="3" t="s">
        <v>12</v>
      </c>
      <c r="D111" s="8">
        <f>N95</f>
        <v>0</v>
      </c>
      <c r="E111" s="6">
        <f t="shared" si="22"/>
        <v>29034</v>
      </c>
      <c r="F111" s="8">
        <f t="shared" si="23"/>
        <v>0</v>
      </c>
      <c r="G111" s="7"/>
    </row>
    <row r="112" spans="3:9">
      <c r="C112" s="3" t="s">
        <v>13</v>
      </c>
      <c r="D112" s="8">
        <f>N96</f>
        <v>0</v>
      </c>
      <c r="E112" s="6">
        <f t="shared" si="22"/>
        <v>0</v>
      </c>
      <c r="F112" s="8">
        <f t="shared" si="23"/>
        <v>0</v>
      </c>
      <c r="G112" s="7"/>
    </row>
    <row r="113" spans="4:7">
      <c r="D113" s="11" t="s">
        <v>47</v>
      </c>
      <c r="E113" s="6">
        <f>SUM(E108:E112)</f>
        <v>138426</v>
      </c>
      <c r="F113" s="11" t="s">
        <v>14</v>
      </c>
      <c r="G113" s="8">
        <f>SUM(G108:G112)</f>
        <v>0</v>
      </c>
    </row>
  </sheetData>
  <mergeCells count="15">
    <mergeCell ref="O11:R12"/>
    <mergeCell ref="S11:S12"/>
    <mergeCell ref="C2:G2"/>
    <mergeCell ref="O7:R8"/>
    <mergeCell ref="S7:S8"/>
    <mergeCell ref="O9:R10"/>
    <mergeCell ref="S9:S10"/>
    <mergeCell ref="O13:R14"/>
    <mergeCell ref="S13:S14"/>
    <mergeCell ref="O15:R16"/>
    <mergeCell ref="S15:S16"/>
    <mergeCell ref="O18:O19"/>
    <mergeCell ref="P18:P19"/>
    <mergeCell ref="Q18:Q19"/>
    <mergeCell ref="R18:S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B0FDB-B35F-4E07-BD0E-3C40215BE9D6}">
  <dimension ref="C2:P76"/>
  <sheetViews>
    <sheetView topLeftCell="A55" workbookViewId="0">
      <selection activeCell="E76" sqref="E76"/>
    </sheetView>
  </sheetViews>
  <sheetFormatPr defaultRowHeight="14.25"/>
  <cols>
    <col min="3" max="3" width="14.375" bestFit="1" customWidth="1"/>
    <col min="4" max="4" width="9.125" bestFit="1" customWidth="1"/>
    <col min="5" max="5" width="15.75" bestFit="1" customWidth="1"/>
    <col min="6" max="6" width="11.375" bestFit="1" customWidth="1"/>
    <col min="7" max="7" width="14.375" bestFit="1" customWidth="1"/>
    <col min="9" max="9" width="11.75" customWidth="1"/>
    <col min="10" max="10" width="14.375" bestFit="1" customWidth="1"/>
    <col min="11" max="11" width="11.375" bestFit="1" customWidth="1"/>
    <col min="14" max="14" width="10.75" bestFit="1" customWidth="1"/>
    <col min="15" max="15" width="41.25" bestFit="1" customWidth="1"/>
    <col min="17" max="17" width="54.875" bestFit="1" customWidth="1"/>
  </cols>
  <sheetData>
    <row r="2" spans="3:15" ht="15">
      <c r="C2" s="26" t="s">
        <v>97</v>
      </c>
      <c r="D2" s="26"/>
      <c r="E2" s="26"/>
      <c r="F2" s="26"/>
    </row>
    <row r="4" spans="3:15" ht="15">
      <c r="C4" s="1" t="s">
        <v>40</v>
      </c>
    </row>
    <row r="5" spans="3:15" ht="15">
      <c r="C5" s="19" t="s">
        <v>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7" spans="3:15" ht="18">
      <c r="C7" s="2" t="s">
        <v>41</v>
      </c>
    </row>
    <row r="8" spans="3:15">
      <c r="C8" t="s">
        <v>72</v>
      </c>
    </row>
    <row r="10" spans="3:15" ht="28.5">
      <c r="C10" s="20"/>
      <c r="D10" s="12"/>
      <c r="E10" s="4" t="s">
        <v>42</v>
      </c>
      <c r="F10" s="4" t="s">
        <v>43</v>
      </c>
      <c r="G10" s="4" t="s">
        <v>44</v>
      </c>
      <c r="H10" s="4" t="s">
        <v>45</v>
      </c>
      <c r="I10" s="4" t="s">
        <v>46</v>
      </c>
      <c r="J10" s="4" t="s">
        <v>92</v>
      </c>
      <c r="K10" s="5" t="s">
        <v>66</v>
      </c>
    </row>
    <row r="11" spans="3:15">
      <c r="D11" s="21"/>
      <c r="E11" s="9">
        <f>F21</f>
        <v>0</v>
      </c>
      <c r="F11" s="9">
        <f>F32</f>
        <v>0</v>
      </c>
      <c r="G11" s="9">
        <f>F43</f>
        <v>0</v>
      </c>
      <c r="H11" s="9">
        <f>F54</f>
        <v>0</v>
      </c>
      <c r="I11" s="9">
        <f>F65</f>
        <v>0</v>
      </c>
      <c r="J11" s="9">
        <f>F76</f>
        <v>0</v>
      </c>
      <c r="K11" s="9">
        <f>E11+F11+G11+H11+I11+J11</f>
        <v>0</v>
      </c>
    </row>
    <row r="15" spans="3:15" ht="15">
      <c r="C15" s="1" t="s">
        <v>51</v>
      </c>
    </row>
    <row r="16" spans="3:15">
      <c r="C16" t="s">
        <v>73</v>
      </c>
      <c r="J16" s="22"/>
    </row>
    <row r="19" spans="3:16" ht="28.5">
      <c r="C19" s="4" t="s">
        <v>49</v>
      </c>
      <c r="D19" s="4" t="s">
        <v>48</v>
      </c>
      <c r="E19" s="4" t="s">
        <v>50</v>
      </c>
      <c r="F19" s="4" t="s">
        <v>8</v>
      </c>
      <c r="G19" s="15"/>
      <c r="H19" s="15"/>
      <c r="I19" s="15"/>
      <c r="J19" s="15"/>
      <c r="K19" s="15"/>
      <c r="L19" s="15"/>
    </row>
    <row r="20" spans="3:16">
      <c r="C20" s="3" t="s">
        <v>52</v>
      </c>
      <c r="D20" s="17">
        <f>' 1A Czp - zamówienie podstawowe'!I38/(' 1A Czp - zamówienie podstawowe'!G38+' 1A Czp - zamówienie podstawowe'!E38)</f>
        <v>0</v>
      </c>
      <c r="E20" s="17">
        <f>60000/5</f>
        <v>12000</v>
      </c>
      <c r="F20" s="10">
        <f>D20*E20</f>
        <v>0</v>
      </c>
      <c r="G20" s="15"/>
      <c r="H20" s="20"/>
      <c r="I20" s="20"/>
      <c r="J20" s="20"/>
      <c r="K20" s="20"/>
      <c r="L20" s="15"/>
    </row>
    <row r="21" spans="3:16" ht="57">
      <c r="C21" s="15"/>
      <c r="D21" s="16"/>
      <c r="E21" s="13" t="s">
        <v>53</v>
      </c>
      <c r="F21" s="14"/>
      <c r="G21" s="15"/>
      <c r="H21" s="15"/>
      <c r="I21" s="23"/>
      <c r="J21" s="23"/>
      <c r="K21" s="23"/>
      <c r="L21" s="15"/>
    </row>
    <row r="22" spans="3:16">
      <c r="C22" s="15"/>
      <c r="D22" s="16"/>
      <c r="E22" s="23"/>
      <c r="F22" s="23"/>
      <c r="G22" s="15"/>
      <c r="H22" s="15"/>
      <c r="I22" s="23"/>
      <c r="J22" s="23"/>
      <c r="K22" s="23"/>
      <c r="L22" s="15"/>
    </row>
    <row r="23" spans="3:16">
      <c r="C23" s="15"/>
      <c r="D23" s="16"/>
      <c r="E23" s="23"/>
      <c r="F23" s="23"/>
      <c r="G23" s="15"/>
      <c r="H23" s="15"/>
      <c r="I23" s="23"/>
      <c r="J23" s="23"/>
      <c r="K23" s="23"/>
      <c r="L23" s="15"/>
      <c r="M23" s="15"/>
      <c r="N23" s="16"/>
      <c r="O23" s="16"/>
      <c r="P23" s="16"/>
    </row>
    <row r="24" spans="3:16">
      <c r="C24" s="15"/>
      <c r="D24" s="15"/>
      <c r="E24" s="15"/>
      <c r="F24" s="23"/>
      <c r="G24" s="15"/>
      <c r="H24" s="15"/>
      <c r="I24" s="15"/>
      <c r="J24" s="15"/>
      <c r="K24" s="23"/>
      <c r="L24" s="15"/>
    </row>
    <row r="25" spans="3:16">
      <c r="C25" s="15"/>
      <c r="D25" s="15"/>
      <c r="E25" s="15"/>
      <c r="F25" s="23"/>
      <c r="G25" s="15"/>
      <c r="H25" s="15"/>
      <c r="I25" s="15"/>
      <c r="J25" s="15"/>
      <c r="K25" s="23"/>
      <c r="L25" s="15"/>
    </row>
    <row r="26" spans="3:16" ht="15">
      <c r="C26" s="1" t="s">
        <v>54</v>
      </c>
      <c r="H26" s="15"/>
      <c r="I26" s="15"/>
      <c r="J26" s="15"/>
      <c r="K26" s="15"/>
      <c r="L26" s="15"/>
    </row>
    <row r="27" spans="3:16">
      <c r="C27" t="s">
        <v>74</v>
      </c>
      <c r="H27" s="15"/>
      <c r="I27" s="15"/>
      <c r="J27" s="24"/>
      <c r="K27" s="15"/>
      <c r="L27" s="15"/>
    </row>
    <row r="28" spans="3:16">
      <c r="H28" s="15"/>
      <c r="I28" s="15"/>
      <c r="J28" s="15"/>
      <c r="K28" s="15"/>
      <c r="L28" s="15"/>
    </row>
    <row r="30" spans="3:16" ht="28.5">
      <c r="C30" s="4" t="s">
        <v>49</v>
      </c>
      <c r="D30" s="4" t="s">
        <v>48</v>
      </c>
      <c r="E30" s="4" t="s">
        <v>50</v>
      </c>
      <c r="F30" s="4" t="s">
        <v>8</v>
      </c>
      <c r="G30" s="15"/>
    </row>
    <row r="31" spans="3:16">
      <c r="C31" s="3" t="s">
        <v>55</v>
      </c>
      <c r="D31" s="17">
        <f>' 1A Czp - zamówienie podstawowe'!I53/(' 1A Czp - zamówienie podstawowe'!E53+' 1A Czp - zamówienie podstawowe'!G53)</f>
        <v>0</v>
      </c>
      <c r="E31" s="17">
        <f>120000/5</f>
        <v>24000</v>
      </c>
      <c r="F31" s="10">
        <f>D31*E31</f>
        <v>0</v>
      </c>
      <c r="G31" s="15"/>
    </row>
    <row r="32" spans="3:16" ht="57">
      <c r="C32" s="15"/>
      <c r="D32" s="16"/>
      <c r="E32" s="13" t="s">
        <v>59</v>
      </c>
      <c r="F32" s="14"/>
      <c r="G32" s="15"/>
    </row>
    <row r="37" spans="3:6" ht="15">
      <c r="C37" s="1" t="s">
        <v>56</v>
      </c>
    </row>
    <row r="38" spans="3:6">
      <c r="C38" t="s">
        <v>75</v>
      </c>
    </row>
    <row r="41" spans="3:6" ht="28.5">
      <c r="C41" s="4" t="s">
        <v>49</v>
      </c>
      <c r="D41" s="4" t="s">
        <v>48</v>
      </c>
      <c r="E41" s="4" t="s">
        <v>50</v>
      </c>
      <c r="F41" s="4" t="s">
        <v>8</v>
      </c>
    </row>
    <row r="42" spans="3:6">
      <c r="C42" s="3" t="s">
        <v>57</v>
      </c>
      <c r="D42" s="17">
        <f>' 1A Czp - zamówienie podstawowe'!I68/(' 1A Czp - zamówienie podstawowe'!E68+' 1A Czp - zamówienie podstawowe'!G68)</f>
        <v>0</v>
      </c>
      <c r="E42" s="17">
        <f>180000/5</f>
        <v>36000</v>
      </c>
      <c r="F42" s="10">
        <f>D42*E42</f>
        <v>0</v>
      </c>
    </row>
    <row r="43" spans="3:6" ht="57">
      <c r="C43" s="15"/>
      <c r="D43" s="16"/>
      <c r="E43" s="13" t="s">
        <v>58</v>
      </c>
      <c r="F43" s="14"/>
    </row>
    <row r="44" spans="3:6">
      <c r="C44" s="15"/>
      <c r="D44" s="16"/>
      <c r="E44" s="23"/>
      <c r="F44" s="23"/>
    </row>
    <row r="45" spans="3:6">
      <c r="C45" s="15"/>
      <c r="D45" s="16"/>
      <c r="E45" s="23"/>
      <c r="F45" s="23"/>
    </row>
    <row r="46" spans="3:6">
      <c r="C46" s="15"/>
      <c r="D46" s="15"/>
      <c r="E46" s="15"/>
      <c r="F46" s="23"/>
    </row>
    <row r="47" spans="3:6">
      <c r="C47" s="15"/>
      <c r="D47" s="15"/>
      <c r="E47" s="15"/>
      <c r="F47" s="23"/>
    </row>
    <row r="48" spans="3:6" ht="15">
      <c r="C48" s="1" t="s">
        <v>60</v>
      </c>
    </row>
    <row r="49" spans="3:6">
      <c r="C49" t="s">
        <v>76</v>
      </c>
    </row>
    <row r="52" spans="3:6" ht="28.5">
      <c r="C52" s="4" t="s">
        <v>49</v>
      </c>
      <c r="D52" s="4" t="s">
        <v>48</v>
      </c>
      <c r="E52" s="4" t="s">
        <v>50</v>
      </c>
      <c r="F52" s="4" t="s">
        <v>8</v>
      </c>
    </row>
    <row r="53" spans="3:6">
      <c r="C53" s="3" t="s">
        <v>61</v>
      </c>
      <c r="D53" s="17">
        <f>' 1A Czp - zamówienie podstawowe'!I82/(' 1A Czp - zamówienie podstawowe'!E82+' 1A Czp - zamówienie podstawowe'!G82)</f>
        <v>0</v>
      </c>
      <c r="E53" s="17">
        <f>240000/5</f>
        <v>48000</v>
      </c>
      <c r="F53" s="10">
        <f>D53*E53</f>
        <v>0</v>
      </c>
    </row>
    <row r="54" spans="3:6" ht="57">
      <c r="C54" s="15"/>
      <c r="D54" s="16"/>
      <c r="E54" s="13" t="s">
        <v>62</v>
      </c>
      <c r="F54" s="14"/>
    </row>
    <row r="59" spans="3:6" ht="15">
      <c r="C59" s="1" t="s">
        <v>63</v>
      </c>
    </row>
    <row r="60" spans="3:6">
      <c r="C60" t="s">
        <v>77</v>
      </c>
    </row>
    <row r="63" spans="3:6" ht="28.5">
      <c r="C63" s="4" t="s">
        <v>49</v>
      </c>
      <c r="D63" s="4" t="s">
        <v>48</v>
      </c>
      <c r="E63" s="4" t="s">
        <v>50</v>
      </c>
      <c r="F63" s="4" t="s">
        <v>8</v>
      </c>
    </row>
    <row r="64" spans="3:6">
      <c r="C64" s="3" t="s">
        <v>64</v>
      </c>
      <c r="D64" s="17">
        <f>' 1A Czp - zamówienie podstawowe'!I97/(' 1A Czp - zamówienie podstawowe'!E97+' 1A Czp - zamówienie podstawowe'!G97)</f>
        <v>0</v>
      </c>
      <c r="E64" s="17">
        <f>240000/5</f>
        <v>48000</v>
      </c>
      <c r="F64" s="10">
        <f>D64*E64</f>
        <v>0</v>
      </c>
    </row>
    <row r="65" spans="3:6" ht="57">
      <c r="C65" s="15"/>
      <c r="D65" s="16"/>
      <c r="E65" s="13" t="s">
        <v>65</v>
      </c>
      <c r="F65" s="14"/>
    </row>
    <row r="70" spans="3:6" ht="15">
      <c r="C70" s="1" t="s">
        <v>93</v>
      </c>
    </row>
    <row r="71" spans="3:6">
      <c r="C71" t="s">
        <v>94</v>
      </c>
    </row>
    <row r="74" spans="3:6" ht="28.5">
      <c r="C74" s="4" t="s">
        <v>49</v>
      </c>
      <c r="D74" s="4" t="s">
        <v>48</v>
      </c>
      <c r="E74" s="4" t="s">
        <v>50</v>
      </c>
      <c r="F74" s="4" t="s">
        <v>8</v>
      </c>
    </row>
    <row r="75" spans="3:6">
      <c r="C75" s="3" t="s">
        <v>95</v>
      </c>
      <c r="D75" s="17">
        <f>' 1A Czp - zamówienie podstawowe'!G113/' 1A Czp - zamówienie podstawowe'!E113</f>
        <v>0</v>
      </c>
      <c r="E75" s="17">
        <f>60000/5</f>
        <v>12000</v>
      </c>
      <c r="F75" s="10">
        <f>D75*E75</f>
        <v>0</v>
      </c>
    </row>
    <row r="76" spans="3:6" ht="57">
      <c r="C76" s="15"/>
      <c r="D76" s="16"/>
      <c r="E76" s="13" t="s">
        <v>65</v>
      </c>
      <c r="F76" s="14"/>
    </row>
  </sheetData>
  <mergeCells count="1">
    <mergeCell ref="C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18652-94C3-41C9-9D3E-F8BFCFE2D214}">
  <dimension ref="C2:S113"/>
  <sheetViews>
    <sheetView workbookViewId="0">
      <selection activeCell="E18" sqref="E18"/>
    </sheetView>
  </sheetViews>
  <sheetFormatPr defaultRowHeight="14.25"/>
  <cols>
    <col min="3" max="3" width="14.375" bestFit="1" customWidth="1"/>
    <col min="4" max="4" width="12.625" bestFit="1" customWidth="1"/>
    <col min="5" max="5" width="11.375" bestFit="1" customWidth="1"/>
    <col min="6" max="6" width="13.375" bestFit="1" customWidth="1"/>
    <col min="7" max="7" width="14.375" bestFit="1" customWidth="1"/>
    <col min="9" max="10" width="14.375" bestFit="1" customWidth="1"/>
    <col min="14" max="14" width="15.625" customWidth="1"/>
    <col min="15" max="15" width="14.625" customWidth="1"/>
    <col min="16" max="16" width="10.375" customWidth="1"/>
    <col min="17" max="17" width="11.125" customWidth="1"/>
    <col min="19" max="19" width="11.5" customWidth="1"/>
  </cols>
  <sheetData>
    <row r="2" spans="3:19" ht="15">
      <c r="C2" s="26" t="s">
        <v>97</v>
      </c>
      <c r="D2" s="26"/>
      <c r="E2" s="26"/>
      <c r="F2" s="26"/>
      <c r="G2" s="26"/>
    </row>
    <row r="4" spans="3:19" ht="15">
      <c r="C4" s="1" t="s">
        <v>40</v>
      </c>
    </row>
    <row r="5" spans="3:19" ht="15">
      <c r="C5" s="19" t="s">
        <v>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3:19" ht="15" thickBot="1"/>
    <row r="7" spans="3:19" ht="18">
      <c r="C7" s="2" t="s">
        <v>0</v>
      </c>
      <c r="O7" s="27" t="s">
        <v>78</v>
      </c>
      <c r="P7" s="28"/>
      <c r="Q7" s="28"/>
      <c r="R7" s="29"/>
      <c r="S7" s="33"/>
    </row>
    <row r="8" spans="3:19" ht="15" thickBot="1">
      <c r="C8" t="s">
        <v>71</v>
      </c>
      <c r="O8" s="30"/>
      <c r="P8" s="31"/>
      <c r="Q8" s="31"/>
      <c r="R8" s="32"/>
      <c r="S8" s="34"/>
    </row>
    <row r="9" spans="3:19" ht="12.75" customHeight="1">
      <c r="O9" s="27" t="s">
        <v>68</v>
      </c>
      <c r="P9" s="28"/>
      <c r="Q9" s="28"/>
      <c r="R9" s="29"/>
      <c r="S9" s="33"/>
    </row>
    <row r="10" spans="3:19" ht="27.75" customHeight="1" thickBot="1"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39</v>
      </c>
      <c r="I10" s="4" t="s">
        <v>91</v>
      </c>
      <c r="J10" s="5" t="s">
        <v>6</v>
      </c>
      <c r="O10" s="30"/>
      <c r="P10" s="31"/>
      <c r="Q10" s="31"/>
      <c r="R10" s="32"/>
      <c r="S10" s="34"/>
    </row>
    <row r="11" spans="3:19" ht="14.25" customHeight="1">
      <c r="C11" s="9">
        <f>G23</f>
        <v>0</v>
      </c>
      <c r="D11" s="9">
        <f>I38</f>
        <v>0</v>
      </c>
      <c r="E11" s="9">
        <f>I53</f>
        <v>0</v>
      </c>
      <c r="F11" s="9">
        <f>I68</f>
        <v>0</v>
      </c>
      <c r="G11" s="9">
        <f>I82</f>
        <v>0</v>
      </c>
      <c r="H11" s="9">
        <f>I97</f>
        <v>0</v>
      </c>
      <c r="I11" s="9">
        <f>G113</f>
        <v>0</v>
      </c>
      <c r="J11" s="9">
        <f>SUM(C11:I11)</f>
        <v>0</v>
      </c>
      <c r="O11" s="27" t="s">
        <v>79</v>
      </c>
      <c r="P11" s="28"/>
      <c r="Q11" s="28"/>
      <c r="R11" s="29"/>
      <c r="S11" s="33"/>
    </row>
    <row r="12" spans="3:19" ht="15" thickBot="1">
      <c r="O12" s="30"/>
      <c r="P12" s="31"/>
      <c r="Q12" s="31"/>
      <c r="R12" s="32"/>
      <c r="S12" s="34"/>
    </row>
    <row r="13" spans="3:19" ht="15" customHeight="1">
      <c r="C13" s="1" t="s">
        <v>17</v>
      </c>
      <c r="O13" s="27" t="s">
        <v>80</v>
      </c>
      <c r="P13" s="28"/>
      <c r="Q13" s="28"/>
      <c r="R13" s="29"/>
      <c r="S13" s="33"/>
    </row>
    <row r="14" spans="3:19" ht="15" thickBot="1">
      <c r="C14" t="s">
        <v>38</v>
      </c>
      <c r="O14" s="30"/>
      <c r="P14" s="31"/>
      <c r="Q14" s="31"/>
      <c r="R14" s="32"/>
      <c r="S14" s="34"/>
    </row>
    <row r="15" spans="3:19">
      <c r="O15" s="27" t="s">
        <v>81</v>
      </c>
      <c r="P15" s="28"/>
      <c r="Q15" s="28"/>
      <c r="R15" s="29"/>
      <c r="S15" s="33"/>
    </row>
    <row r="16" spans="3:19" ht="15" thickBot="1">
      <c r="O16" s="30"/>
      <c r="P16" s="31"/>
      <c r="Q16" s="31"/>
      <c r="R16" s="32"/>
      <c r="S16" s="34"/>
    </row>
    <row r="17" spans="3:19" ht="99.75">
      <c r="C17" s="4" t="s">
        <v>7</v>
      </c>
      <c r="D17" s="4" t="s">
        <v>18</v>
      </c>
      <c r="E17" s="4" t="s">
        <v>19</v>
      </c>
      <c r="F17" s="4" t="s">
        <v>8</v>
      </c>
      <c r="G17" s="4" t="s">
        <v>15</v>
      </c>
      <c r="J17" s="4" t="s">
        <v>7</v>
      </c>
      <c r="K17" s="4" t="s">
        <v>18</v>
      </c>
      <c r="L17" s="4" t="s">
        <v>16</v>
      </c>
    </row>
    <row r="18" spans="3:19">
      <c r="C18" s="3" t="s">
        <v>10</v>
      </c>
      <c r="D18" s="8">
        <f>L18</f>
        <v>0</v>
      </c>
      <c r="E18" s="6">
        <f>6*1917</f>
        <v>11502</v>
      </c>
      <c r="F18" s="8">
        <f>D18*E18</f>
        <v>0</v>
      </c>
      <c r="G18" s="7">
        <f>F18</f>
        <v>0</v>
      </c>
      <c r="I18" s="25"/>
      <c r="J18" s="3" t="s">
        <v>10</v>
      </c>
      <c r="K18" s="10">
        <f>(0.85*0.125*S7)+S7</f>
        <v>0</v>
      </c>
      <c r="L18" s="7"/>
      <c r="O18" s="35" t="s">
        <v>7</v>
      </c>
      <c r="P18" s="35" t="s">
        <v>82</v>
      </c>
      <c r="Q18" s="35" t="s">
        <v>16</v>
      </c>
      <c r="R18" s="37" t="s">
        <v>83</v>
      </c>
      <c r="S18" s="37"/>
    </row>
    <row r="19" spans="3:19" ht="14.25" customHeight="1">
      <c r="C19" s="3" t="s">
        <v>9</v>
      </c>
      <c r="D19" s="8">
        <f>L19</f>
        <v>0</v>
      </c>
      <c r="E19" s="6">
        <f>6*11199</f>
        <v>67194</v>
      </c>
      <c r="F19" s="8">
        <f t="shared" ref="F19:F22" si="0">D19*E19</f>
        <v>0</v>
      </c>
      <c r="G19" s="7">
        <f t="shared" ref="G19:G22" si="1">F19</f>
        <v>0</v>
      </c>
      <c r="I19" s="25"/>
      <c r="J19" s="3" t="s">
        <v>9</v>
      </c>
      <c r="K19" s="10">
        <f>(0.85*0.125*S9)+S9</f>
        <v>0</v>
      </c>
      <c r="L19" s="7"/>
      <c r="O19" s="36"/>
      <c r="P19" s="36"/>
      <c r="Q19" s="36"/>
      <c r="R19" s="37"/>
      <c r="S19" s="37"/>
    </row>
    <row r="20" spans="3:19">
      <c r="C20" s="3" t="s">
        <v>11</v>
      </c>
      <c r="D20" s="8">
        <f>L20</f>
        <v>0</v>
      </c>
      <c r="E20" s="6">
        <f>6*1594</f>
        <v>9564</v>
      </c>
      <c r="F20" s="8">
        <f t="shared" si="0"/>
        <v>0</v>
      </c>
      <c r="G20" s="7">
        <f t="shared" si="1"/>
        <v>0</v>
      </c>
      <c r="I20" s="25"/>
      <c r="J20" s="3" t="s">
        <v>11</v>
      </c>
      <c r="K20" s="10">
        <f>(0.85*0.125*S11)+S11</f>
        <v>0</v>
      </c>
      <c r="L20" s="7"/>
      <c r="N20" s="22"/>
      <c r="O20" s="11" t="s">
        <v>84</v>
      </c>
      <c r="P20" s="6">
        <f>(P21*0.9)+0.01</f>
        <v>0.01</v>
      </c>
      <c r="Q20" s="14"/>
      <c r="R20" s="37"/>
      <c r="S20" s="37"/>
    </row>
    <row r="21" spans="3:19">
      <c r="C21" s="3" t="s">
        <v>12</v>
      </c>
      <c r="D21" s="8">
        <f>L21</f>
        <v>0</v>
      </c>
      <c r="E21" s="6">
        <f>6*6219</f>
        <v>37314</v>
      </c>
      <c r="F21" s="8">
        <f t="shared" si="0"/>
        <v>0</v>
      </c>
      <c r="G21" s="7">
        <f t="shared" si="1"/>
        <v>0</v>
      </c>
      <c r="I21" s="25"/>
      <c r="J21" s="3" t="s">
        <v>12</v>
      </c>
      <c r="K21" s="10">
        <f>(0.85*0.125*S13)+S13</f>
        <v>0</v>
      </c>
      <c r="L21" s="7"/>
      <c r="N21" s="22"/>
      <c r="O21" s="11" t="s">
        <v>85</v>
      </c>
      <c r="P21" s="6">
        <f>((E18*S7)+(E19*S9)+(E20*S11)+(E21*S13)+(E22*S15))/((E18*0.9)+(E19)+(1.15*E20)+(1.25*E21)+(1.35*E22))</f>
        <v>0</v>
      </c>
      <c r="Q21" s="14"/>
      <c r="R21" s="37"/>
      <c r="S21" s="37"/>
    </row>
    <row r="22" spans="3:19">
      <c r="C22" s="3" t="s">
        <v>13</v>
      </c>
      <c r="D22" s="8">
        <f>L22</f>
        <v>0</v>
      </c>
      <c r="E22" s="6">
        <f>6*2536</f>
        <v>15216</v>
      </c>
      <c r="F22" s="8">
        <f t="shared" si="0"/>
        <v>0</v>
      </c>
      <c r="G22" s="7">
        <f t="shared" si="1"/>
        <v>0</v>
      </c>
      <c r="I22" s="25"/>
      <c r="J22" s="3" t="s">
        <v>13</v>
      </c>
      <c r="K22" s="10">
        <f>(0.85*0.125*S15)+S15</f>
        <v>0</v>
      </c>
      <c r="L22" s="7"/>
      <c r="N22" s="22"/>
      <c r="O22" s="11" t="s">
        <v>86</v>
      </c>
      <c r="P22" s="6">
        <f>P21*1.15</f>
        <v>0</v>
      </c>
      <c r="Q22" s="14"/>
      <c r="R22" s="37"/>
      <c r="S22" s="37"/>
    </row>
    <row r="23" spans="3:19">
      <c r="D23" s="11" t="s">
        <v>47</v>
      </c>
      <c r="E23" s="6">
        <f>SUM(E18:E22)</f>
        <v>140790</v>
      </c>
      <c r="F23" s="11" t="s">
        <v>14</v>
      </c>
      <c r="G23" s="8">
        <f>SUM(G18:G22)</f>
        <v>0</v>
      </c>
      <c r="I23" s="25"/>
      <c r="N23" s="22"/>
      <c r="O23" s="11" t="s">
        <v>87</v>
      </c>
      <c r="P23" s="6">
        <f>(P21*1.25)</f>
        <v>0</v>
      </c>
      <c r="Q23" s="14"/>
      <c r="R23" s="37"/>
      <c r="S23" s="37"/>
    </row>
    <row r="24" spans="3:19">
      <c r="N24" s="22"/>
      <c r="O24" s="11" t="s">
        <v>88</v>
      </c>
      <c r="P24" s="6">
        <f>P21*1.35</f>
        <v>0</v>
      </c>
      <c r="Q24" s="14"/>
      <c r="R24" s="37"/>
      <c r="S24" s="37"/>
    </row>
    <row r="25" spans="3:19">
      <c r="N25" s="22"/>
    </row>
    <row r="28" spans="3:19" ht="15">
      <c r="C28" s="1" t="s">
        <v>20</v>
      </c>
    </row>
    <row r="29" spans="3:19">
      <c r="C29" t="s">
        <v>37</v>
      </c>
    </row>
    <row r="32" spans="3:19" ht="57">
      <c r="C32" s="4" t="s">
        <v>7</v>
      </c>
      <c r="D32" s="4" t="s">
        <v>18</v>
      </c>
      <c r="E32" s="4" t="s">
        <v>19</v>
      </c>
      <c r="F32" s="4" t="s">
        <v>21</v>
      </c>
      <c r="G32" s="4" t="s">
        <v>22</v>
      </c>
      <c r="H32" s="4" t="s">
        <v>8</v>
      </c>
      <c r="I32" s="4" t="s">
        <v>15</v>
      </c>
      <c r="L32" s="4" t="s">
        <v>7</v>
      </c>
      <c r="M32" s="4" t="s">
        <v>21</v>
      </c>
      <c r="N32" s="4" t="s">
        <v>16</v>
      </c>
    </row>
    <row r="33" spans="3:14">
      <c r="C33" s="3" t="s">
        <v>10</v>
      </c>
      <c r="D33" s="8">
        <f>L18</f>
        <v>0</v>
      </c>
      <c r="E33" s="6">
        <f>E18</f>
        <v>11502</v>
      </c>
      <c r="F33" s="8">
        <f>N33</f>
        <v>0</v>
      </c>
      <c r="G33" s="6">
        <f>E18</f>
        <v>11502</v>
      </c>
      <c r="H33" s="8">
        <f>(D33*E33)+(F33*G33)</f>
        <v>0</v>
      </c>
      <c r="I33" s="7"/>
      <c r="L33" s="3" t="s">
        <v>10</v>
      </c>
      <c r="M33" s="10">
        <f>(0.85*0.125*L18)+L18</f>
        <v>0</v>
      </c>
      <c r="N33" s="7"/>
    </row>
    <row r="34" spans="3:14">
      <c r="C34" s="3" t="s">
        <v>9</v>
      </c>
      <c r="D34" s="8">
        <f t="shared" ref="D34:D37" si="2">L19</f>
        <v>0</v>
      </c>
      <c r="E34" s="6">
        <f t="shared" ref="E34:E37" si="3">E19</f>
        <v>67194</v>
      </c>
      <c r="F34" s="8">
        <f>N34</f>
        <v>0</v>
      </c>
      <c r="G34" s="6">
        <f t="shared" ref="G34:G37" si="4">E19</f>
        <v>67194</v>
      </c>
      <c r="H34" s="8">
        <f t="shared" ref="H34:H37" si="5">(D34*E34)+(F34*G34)</f>
        <v>0</v>
      </c>
      <c r="I34" s="7"/>
      <c r="L34" s="3" t="s">
        <v>9</v>
      </c>
      <c r="M34" s="10">
        <f>(0.85*0.125*L19)+L19</f>
        <v>0</v>
      </c>
      <c r="N34" s="7"/>
    </row>
    <row r="35" spans="3:14">
      <c r="C35" s="3" t="s">
        <v>11</v>
      </c>
      <c r="D35" s="8">
        <f t="shared" si="2"/>
        <v>0</v>
      </c>
      <c r="E35" s="6">
        <f t="shared" si="3"/>
        <v>9564</v>
      </c>
      <c r="F35" s="8">
        <f>N35</f>
        <v>0</v>
      </c>
      <c r="G35" s="6">
        <f t="shared" si="4"/>
        <v>9564</v>
      </c>
      <c r="H35" s="8">
        <f t="shared" si="5"/>
        <v>0</v>
      </c>
      <c r="I35" s="7"/>
      <c r="L35" s="3" t="s">
        <v>11</v>
      </c>
      <c r="M35" s="10">
        <f>(0.85*0.125*L20)+L20</f>
        <v>0</v>
      </c>
      <c r="N35" s="7"/>
    </row>
    <row r="36" spans="3:14">
      <c r="C36" s="3" t="s">
        <v>12</v>
      </c>
      <c r="D36" s="8">
        <f t="shared" si="2"/>
        <v>0</v>
      </c>
      <c r="E36" s="6">
        <f t="shared" si="3"/>
        <v>37314</v>
      </c>
      <c r="F36" s="8">
        <f>N36</f>
        <v>0</v>
      </c>
      <c r="G36" s="6">
        <f t="shared" si="4"/>
        <v>37314</v>
      </c>
      <c r="H36" s="8">
        <f t="shared" si="5"/>
        <v>0</v>
      </c>
      <c r="I36" s="7"/>
      <c r="L36" s="3" t="s">
        <v>12</v>
      </c>
      <c r="M36" s="10">
        <f>(0.85*0.125*L21)+L21</f>
        <v>0</v>
      </c>
      <c r="N36" s="7"/>
    </row>
    <row r="37" spans="3:14">
      <c r="C37" s="3" t="s">
        <v>13</v>
      </c>
      <c r="D37" s="8">
        <f t="shared" si="2"/>
        <v>0</v>
      </c>
      <c r="E37" s="6">
        <f t="shared" si="3"/>
        <v>15216</v>
      </c>
      <c r="F37" s="8">
        <f>N37</f>
        <v>0</v>
      </c>
      <c r="G37" s="6">
        <f t="shared" si="4"/>
        <v>15216</v>
      </c>
      <c r="H37" s="8">
        <f t="shared" si="5"/>
        <v>0</v>
      </c>
      <c r="I37" s="7"/>
      <c r="L37" s="3" t="s">
        <v>13</v>
      </c>
      <c r="M37" s="10">
        <f>(0.85*0.125*L22)+L22</f>
        <v>0</v>
      </c>
      <c r="N37" s="7"/>
    </row>
    <row r="38" spans="3:14">
      <c r="D38" s="11" t="s">
        <v>47</v>
      </c>
      <c r="E38" s="6">
        <f>SUM(E33:E37)</f>
        <v>140790</v>
      </c>
      <c r="F38" s="11" t="s">
        <v>47</v>
      </c>
      <c r="G38" s="6">
        <f>SUM(G33:G37)</f>
        <v>140790</v>
      </c>
      <c r="H38" s="11" t="s">
        <v>14</v>
      </c>
      <c r="I38" s="8">
        <f>SUM(I33:I37)</f>
        <v>0</v>
      </c>
    </row>
    <row r="43" spans="3:14" ht="15">
      <c r="C43" s="1" t="s">
        <v>23</v>
      </c>
    </row>
    <row r="44" spans="3:14">
      <c r="C44" t="s">
        <v>36</v>
      </c>
    </row>
    <row r="47" spans="3:14" ht="57">
      <c r="C47" s="4" t="s">
        <v>7</v>
      </c>
      <c r="D47" s="4" t="s">
        <v>21</v>
      </c>
      <c r="E47" s="4" t="s">
        <v>22</v>
      </c>
      <c r="F47" s="4" t="s">
        <v>24</v>
      </c>
      <c r="G47" s="4" t="s">
        <v>25</v>
      </c>
      <c r="H47" s="4" t="s">
        <v>8</v>
      </c>
      <c r="I47" s="4" t="s">
        <v>15</v>
      </c>
      <c r="L47" s="4" t="s">
        <v>7</v>
      </c>
      <c r="M47" s="4" t="s">
        <v>24</v>
      </c>
      <c r="N47" s="4" t="s">
        <v>16</v>
      </c>
    </row>
    <row r="48" spans="3:14">
      <c r="C48" s="3" t="s">
        <v>10</v>
      </c>
      <c r="D48" s="8">
        <f>N33</f>
        <v>0</v>
      </c>
      <c r="E48" s="6">
        <f>E33</f>
        <v>11502</v>
      </c>
      <c r="F48" s="8">
        <f>N48</f>
        <v>0</v>
      </c>
      <c r="G48" s="6">
        <f>G33</f>
        <v>11502</v>
      </c>
      <c r="H48" s="8">
        <f>(D48*E48)+(F48*G48)</f>
        <v>0</v>
      </c>
      <c r="I48" s="7"/>
      <c r="L48" s="3" t="s">
        <v>10</v>
      </c>
      <c r="M48" s="10">
        <f>(0.85*0.125*N33)+N33</f>
        <v>0</v>
      </c>
      <c r="N48" s="7"/>
    </row>
    <row r="49" spans="3:14">
      <c r="C49" s="3" t="s">
        <v>9</v>
      </c>
      <c r="D49" s="8">
        <f t="shared" ref="D49:D52" si="6">N34</f>
        <v>0</v>
      </c>
      <c r="E49" s="6">
        <f t="shared" ref="E49:E52" si="7">E34</f>
        <v>67194</v>
      </c>
      <c r="F49" s="8">
        <f>N49</f>
        <v>0</v>
      </c>
      <c r="G49" s="6">
        <f t="shared" ref="G49:G52" si="8">G34</f>
        <v>67194</v>
      </c>
      <c r="H49" s="8">
        <f t="shared" ref="H49:H52" si="9">(D49*E49)+(F49*G49)</f>
        <v>0</v>
      </c>
      <c r="I49" s="7"/>
      <c r="L49" s="3" t="s">
        <v>9</v>
      </c>
      <c r="M49" s="10">
        <f>(0.85*0.125*N34)+N34</f>
        <v>0</v>
      </c>
      <c r="N49" s="7"/>
    </row>
    <row r="50" spans="3:14">
      <c r="C50" s="3" t="s">
        <v>11</v>
      </c>
      <c r="D50" s="8">
        <f t="shared" si="6"/>
        <v>0</v>
      </c>
      <c r="E50" s="6">
        <f t="shared" si="7"/>
        <v>9564</v>
      </c>
      <c r="F50" s="8">
        <f>N50</f>
        <v>0</v>
      </c>
      <c r="G50" s="6">
        <f t="shared" si="8"/>
        <v>9564</v>
      </c>
      <c r="H50" s="8">
        <f t="shared" si="9"/>
        <v>0</v>
      </c>
      <c r="I50" s="7"/>
      <c r="L50" s="3" t="s">
        <v>11</v>
      </c>
      <c r="M50" s="10">
        <f>(0.85*0.125*N35)+N35</f>
        <v>0</v>
      </c>
      <c r="N50" s="7"/>
    </row>
    <row r="51" spans="3:14">
      <c r="C51" s="3" t="s">
        <v>12</v>
      </c>
      <c r="D51" s="8">
        <f t="shared" si="6"/>
        <v>0</v>
      </c>
      <c r="E51" s="6">
        <f t="shared" si="7"/>
        <v>37314</v>
      </c>
      <c r="F51" s="8">
        <f>N51</f>
        <v>0</v>
      </c>
      <c r="G51" s="6">
        <f t="shared" si="8"/>
        <v>37314</v>
      </c>
      <c r="H51" s="8">
        <f t="shared" si="9"/>
        <v>0</v>
      </c>
      <c r="I51" s="7"/>
      <c r="L51" s="3" t="s">
        <v>12</v>
      </c>
      <c r="M51" s="10">
        <f>(0.85*0.125*N36)+N36</f>
        <v>0</v>
      </c>
      <c r="N51" s="7"/>
    </row>
    <row r="52" spans="3:14">
      <c r="C52" s="3" t="s">
        <v>13</v>
      </c>
      <c r="D52" s="8">
        <f t="shared" si="6"/>
        <v>0</v>
      </c>
      <c r="E52" s="6">
        <f t="shared" si="7"/>
        <v>15216</v>
      </c>
      <c r="F52" s="8">
        <f>N52</f>
        <v>0</v>
      </c>
      <c r="G52" s="6">
        <f t="shared" si="8"/>
        <v>15216</v>
      </c>
      <c r="H52" s="8">
        <f t="shared" si="9"/>
        <v>0</v>
      </c>
      <c r="I52" s="7"/>
      <c r="L52" s="3" t="s">
        <v>13</v>
      </c>
      <c r="M52" s="10">
        <f>(0.85*0.125*N37)+N37</f>
        <v>0</v>
      </c>
      <c r="N52" s="7"/>
    </row>
    <row r="53" spans="3:14">
      <c r="D53" s="11" t="s">
        <v>47</v>
      </c>
      <c r="E53" s="6">
        <f>SUM(E48:E52)</f>
        <v>140790</v>
      </c>
      <c r="F53" s="11" t="s">
        <v>47</v>
      </c>
      <c r="G53" s="6">
        <f>SUM(G48:G52)</f>
        <v>140790</v>
      </c>
      <c r="H53" s="11" t="s">
        <v>14</v>
      </c>
      <c r="I53" s="8">
        <f>SUM(I48:I52)</f>
        <v>0</v>
      </c>
    </row>
    <row r="58" spans="3:14" ht="15">
      <c r="C58" s="1" t="s">
        <v>26</v>
      </c>
    </row>
    <row r="59" spans="3:14">
      <c r="C59" t="s">
        <v>35</v>
      </c>
    </row>
    <row r="62" spans="3:14" ht="57">
      <c r="C62" s="4" t="s">
        <v>7</v>
      </c>
      <c r="D62" s="4" t="s">
        <v>24</v>
      </c>
      <c r="E62" s="4" t="s">
        <v>25</v>
      </c>
      <c r="F62" s="4" t="s">
        <v>27</v>
      </c>
      <c r="G62" s="4" t="s">
        <v>28</v>
      </c>
      <c r="H62" s="4" t="s">
        <v>8</v>
      </c>
      <c r="I62" s="4" t="s">
        <v>15</v>
      </c>
      <c r="L62" s="4" t="s">
        <v>7</v>
      </c>
      <c r="M62" s="4" t="s">
        <v>27</v>
      </c>
      <c r="N62" s="4" t="s">
        <v>16</v>
      </c>
    </row>
    <row r="63" spans="3:14">
      <c r="C63" s="3" t="s">
        <v>10</v>
      </c>
      <c r="D63" s="8">
        <f>N48</f>
        <v>0</v>
      </c>
      <c r="E63" s="6">
        <f>E48</f>
        <v>11502</v>
      </c>
      <c r="F63" s="8">
        <f>N63</f>
        <v>0</v>
      </c>
      <c r="G63" s="6">
        <f>G48</f>
        <v>11502</v>
      </c>
      <c r="H63" s="8">
        <f>(D63*E63)+(F63*G63)</f>
        <v>0</v>
      </c>
      <c r="I63" s="7"/>
      <c r="L63" s="3" t="s">
        <v>10</v>
      </c>
      <c r="M63" s="10">
        <f>(0.85*0.125*N48)+N48</f>
        <v>0</v>
      </c>
      <c r="N63" s="7"/>
    </row>
    <row r="64" spans="3:14">
      <c r="C64" s="3" t="s">
        <v>9</v>
      </c>
      <c r="D64" s="8">
        <f t="shared" ref="D64:D67" si="10">N49</f>
        <v>0</v>
      </c>
      <c r="E64" s="6">
        <f t="shared" ref="E64:E67" si="11">E49</f>
        <v>67194</v>
      </c>
      <c r="F64" s="8">
        <f>N64</f>
        <v>0</v>
      </c>
      <c r="G64" s="6">
        <f t="shared" ref="G64:G67" si="12">G49</f>
        <v>67194</v>
      </c>
      <c r="H64" s="8">
        <f t="shared" ref="H64:H67" si="13">(D64*E64)+(F64*G64)</f>
        <v>0</v>
      </c>
      <c r="I64" s="7"/>
      <c r="L64" s="3" t="s">
        <v>9</v>
      </c>
      <c r="M64" s="10">
        <f>(0.85*0.125*N49)+N49</f>
        <v>0</v>
      </c>
      <c r="N64" s="7"/>
    </row>
    <row r="65" spans="3:14">
      <c r="C65" s="3" t="s">
        <v>11</v>
      </c>
      <c r="D65" s="8">
        <f t="shared" si="10"/>
        <v>0</v>
      </c>
      <c r="E65" s="6">
        <f t="shared" si="11"/>
        <v>9564</v>
      </c>
      <c r="F65" s="8">
        <f>N65</f>
        <v>0</v>
      </c>
      <c r="G65" s="6">
        <f t="shared" si="12"/>
        <v>9564</v>
      </c>
      <c r="H65" s="8">
        <f t="shared" si="13"/>
        <v>0</v>
      </c>
      <c r="I65" s="7"/>
      <c r="L65" s="3" t="s">
        <v>11</v>
      </c>
      <c r="M65" s="10">
        <f>(0.85*0.125*N50)+N50</f>
        <v>0</v>
      </c>
      <c r="N65" s="7"/>
    </row>
    <row r="66" spans="3:14">
      <c r="C66" s="3" t="s">
        <v>12</v>
      </c>
      <c r="D66" s="8">
        <f t="shared" si="10"/>
        <v>0</v>
      </c>
      <c r="E66" s="6">
        <f t="shared" si="11"/>
        <v>37314</v>
      </c>
      <c r="F66" s="8">
        <f>N66</f>
        <v>0</v>
      </c>
      <c r="G66" s="6">
        <f t="shared" si="12"/>
        <v>37314</v>
      </c>
      <c r="H66" s="8">
        <f t="shared" si="13"/>
        <v>0</v>
      </c>
      <c r="I66" s="7"/>
      <c r="L66" s="3" t="s">
        <v>12</v>
      </c>
      <c r="M66" s="10">
        <f>(0.85*0.125*N51)+N51</f>
        <v>0</v>
      </c>
      <c r="N66" s="7"/>
    </row>
    <row r="67" spans="3:14">
      <c r="C67" s="3" t="s">
        <v>13</v>
      </c>
      <c r="D67" s="8">
        <f t="shared" si="10"/>
        <v>0</v>
      </c>
      <c r="E67" s="6">
        <f t="shared" si="11"/>
        <v>15216</v>
      </c>
      <c r="F67" s="8">
        <f>N67</f>
        <v>0</v>
      </c>
      <c r="G67" s="6">
        <f t="shared" si="12"/>
        <v>15216</v>
      </c>
      <c r="H67" s="8">
        <f t="shared" si="13"/>
        <v>0</v>
      </c>
      <c r="I67" s="7"/>
      <c r="L67" s="3" t="s">
        <v>13</v>
      </c>
      <c r="M67" s="10">
        <f>(0.85*0.125*N52)+N52</f>
        <v>0</v>
      </c>
      <c r="N67" s="7"/>
    </row>
    <row r="68" spans="3:14">
      <c r="D68" s="11" t="s">
        <v>47</v>
      </c>
      <c r="E68" s="6">
        <f>SUM(E63:E67)</f>
        <v>140790</v>
      </c>
      <c r="F68" s="11" t="s">
        <v>47</v>
      </c>
      <c r="G68" s="6">
        <f>SUM(G63:G67)</f>
        <v>140790</v>
      </c>
      <c r="H68" s="11" t="s">
        <v>14</v>
      </c>
      <c r="I68" s="8">
        <f>SUM(I63:I67)</f>
        <v>0</v>
      </c>
    </row>
    <row r="72" spans="3:14" ht="15">
      <c r="C72" s="1" t="s">
        <v>29</v>
      </c>
    </row>
    <row r="73" spans="3:14">
      <c r="C73" t="s">
        <v>34</v>
      </c>
    </row>
    <row r="76" spans="3:14" ht="57">
      <c r="C76" s="4" t="s">
        <v>7</v>
      </c>
      <c r="D76" s="4" t="s">
        <v>27</v>
      </c>
      <c r="E76" s="4" t="s">
        <v>28</v>
      </c>
      <c r="F76" s="4" t="s">
        <v>31</v>
      </c>
      <c r="G76" s="4" t="s">
        <v>32</v>
      </c>
      <c r="H76" s="4" t="s">
        <v>8</v>
      </c>
      <c r="I76" s="4" t="s">
        <v>15</v>
      </c>
      <c r="L76" s="4" t="s">
        <v>7</v>
      </c>
      <c r="M76" s="4" t="s">
        <v>31</v>
      </c>
      <c r="N76" s="4" t="s">
        <v>16</v>
      </c>
    </row>
    <row r="77" spans="3:14">
      <c r="C77" s="3" t="s">
        <v>10</v>
      </c>
      <c r="D77" s="8">
        <f>N63</f>
        <v>0</v>
      </c>
      <c r="E77" s="6">
        <f>E63</f>
        <v>11502</v>
      </c>
      <c r="F77" s="8">
        <f>N77</f>
        <v>0</v>
      </c>
      <c r="G77" s="6">
        <f>G63</f>
        <v>11502</v>
      </c>
      <c r="H77" s="8">
        <f>(D77*E77)+(F77*G77)</f>
        <v>0</v>
      </c>
      <c r="I77" s="7"/>
      <c r="L77" s="3" t="s">
        <v>10</v>
      </c>
      <c r="M77" s="10">
        <f>(0.85*0.125*N63)+N63</f>
        <v>0</v>
      </c>
      <c r="N77" s="7"/>
    </row>
    <row r="78" spans="3:14">
      <c r="C78" s="3" t="s">
        <v>9</v>
      </c>
      <c r="D78" s="8">
        <f t="shared" ref="D78:D81" si="14">N64</f>
        <v>0</v>
      </c>
      <c r="E78" s="6">
        <f t="shared" ref="E78:E81" si="15">E64</f>
        <v>67194</v>
      </c>
      <c r="F78" s="8">
        <f>N78</f>
        <v>0</v>
      </c>
      <c r="G78" s="6">
        <f t="shared" ref="G78:G81" si="16">G64</f>
        <v>67194</v>
      </c>
      <c r="H78" s="8">
        <f t="shared" ref="H78:H81" si="17">(D78*E78)+(F78*G78)</f>
        <v>0</v>
      </c>
      <c r="I78" s="7"/>
      <c r="L78" s="3" t="s">
        <v>9</v>
      </c>
      <c r="M78" s="10">
        <f>(0.85*0.125*N64)+N64</f>
        <v>0</v>
      </c>
      <c r="N78" s="7"/>
    </row>
    <row r="79" spans="3:14">
      <c r="C79" s="3" t="s">
        <v>11</v>
      </c>
      <c r="D79" s="8">
        <f t="shared" si="14"/>
        <v>0</v>
      </c>
      <c r="E79" s="6">
        <f t="shared" si="15"/>
        <v>9564</v>
      </c>
      <c r="F79" s="8">
        <f>N79</f>
        <v>0</v>
      </c>
      <c r="G79" s="6">
        <f t="shared" si="16"/>
        <v>9564</v>
      </c>
      <c r="H79" s="8">
        <f t="shared" si="17"/>
        <v>0</v>
      </c>
      <c r="I79" s="7"/>
      <c r="L79" s="3" t="s">
        <v>11</v>
      </c>
      <c r="M79" s="10">
        <f>(0.85*0.125*N65)+N65</f>
        <v>0</v>
      </c>
      <c r="N79" s="7"/>
    </row>
    <row r="80" spans="3:14">
      <c r="C80" s="3" t="s">
        <v>12</v>
      </c>
      <c r="D80" s="8">
        <f t="shared" si="14"/>
        <v>0</v>
      </c>
      <c r="E80" s="6">
        <f t="shared" si="15"/>
        <v>37314</v>
      </c>
      <c r="F80" s="8">
        <f>N80</f>
        <v>0</v>
      </c>
      <c r="G80" s="6">
        <f t="shared" si="16"/>
        <v>37314</v>
      </c>
      <c r="H80" s="8">
        <f t="shared" si="17"/>
        <v>0</v>
      </c>
      <c r="I80" s="7"/>
      <c r="L80" s="3" t="s">
        <v>12</v>
      </c>
      <c r="M80" s="10">
        <f>(0.85*0.125*N66)+N66</f>
        <v>0</v>
      </c>
      <c r="N80" s="7"/>
    </row>
    <row r="81" spans="3:14">
      <c r="C81" s="3" t="s">
        <v>13</v>
      </c>
      <c r="D81" s="8">
        <f t="shared" si="14"/>
        <v>0</v>
      </c>
      <c r="E81" s="6">
        <f t="shared" si="15"/>
        <v>15216</v>
      </c>
      <c r="F81" s="8">
        <f>N81</f>
        <v>0</v>
      </c>
      <c r="G81" s="6">
        <f t="shared" si="16"/>
        <v>15216</v>
      </c>
      <c r="H81" s="8">
        <f t="shared" si="17"/>
        <v>0</v>
      </c>
      <c r="I81" s="7"/>
      <c r="L81" s="3" t="s">
        <v>13</v>
      </c>
      <c r="M81" s="10">
        <f>(0.85*0.125*N67)+N67</f>
        <v>0</v>
      </c>
      <c r="N81" s="7"/>
    </row>
    <row r="82" spans="3:14">
      <c r="D82" s="11" t="s">
        <v>47</v>
      </c>
      <c r="E82" s="6">
        <f>SUM(E77:E81)</f>
        <v>140790</v>
      </c>
      <c r="F82" s="11" t="s">
        <v>47</v>
      </c>
      <c r="G82" s="6">
        <f>SUM(G77:G81)</f>
        <v>140790</v>
      </c>
      <c r="H82" s="11" t="s">
        <v>14</v>
      </c>
      <c r="I82" s="8">
        <f>SUM(I77:I81)</f>
        <v>0</v>
      </c>
    </row>
    <row r="87" spans="3:14" ht="15">
      <c r="C87" s="1" t="s">
        <v>30</v>
      </c>
    </row>
    <row r="88" spans="3:14">
      <c r="C88" t="s">
        <v>33</v>
      </c>
    </row>
    <row r="91" spans="3:14" ht="57">
      <c r="C91" s="4" t="s">
        <v>7</v>
      </c>
      <c r="D91" s="4" t="s">
        <v>24</v>
      </c>
      <c r="E91" s="4" t="s">
        <v>25</v>
      </c>
      <c r="F91" s="4" t="s">
        <v>69</v>
      </c>
      <c r="G91" s="4" t="s">
        <v>70</v>
      </c>
      <c r="H91" s="4" t="s">
        <v>8</v>
      </c>
      <c r="I91" s="4" t="s">
        <v>15</v>
      </c>
      <c r="L91" s="4" t="s">
        <v>7</v>
      </c>
      <c r="M91" s="4" t="s">
        <v>69</v>
      </c>
      <c r="N91" s="4" t="s">
        <v>16</v>
      </c>
    </row>
    <row r="92" spans="3:14">
      <c r="C92" s="3" t="s">
        <v>10</v>
      </c>
      <c r="D92" s="8">
        <f>N77</f>
        <v>0</v>
      </c>
      <c r="E92" s="6">
        <f>E77</f>
        <v>11502</v>
      </c>
      <c r="F92" s="8">
        <f>N92</f>
        <v>0</v>
      </c>
      <c r="G92" s="6">
        <f>G77</f>
        <v>11502</v>
      </c>
      <c r="H92" s="8">
        <f>(D92*E92)+(F92*G92)</f>
        <v>0</v>
      </c>
      <c r="I92" s="7"/>
      <c r="L92" s="3" t="s">
        <v>10</v>
      </c>
      <c r="M92" s="10">
        <f>(0.85*0.125*N77)+N77</f>
        <v>0</v>
      </c>
      <c r="N92" s="7"/>
    </row>
    <row r="93" spans="3:14">
      <c r="C93" s="3" t="s">
        <v>9</v>
      </c>
      <c r="D93" s="8">
        <f t="shared" ref="D93:D96" si="18">N78</f>
        <v>0</v>
      </c>
      <c r="E93" s="6">
        <f t="shared" ref="E93:E96" si="19">E78</f>
        <v>67194</v>
      </c>
      <c r="F93" s="8">
        <f>N93</f>
        <v>0</v>
      </c>
      <c r="G93" s="6">
        <f t="shared" ref="G93:G96" si="20">G78</f>
        <v>67194</v>
      </c>
      <c r="H93" s="8">
        <f t="shared" ref="H93:H96" si="21">(D93*E93)+(F93*G93)</f>
        <v>0</v>
      </c>
      <c r="I93" s="7"/>
      <c r="L93" s="3" t="s">
        <v>9</v>
      </c>
      <c r="M93" s="10">
        <f>(0.85*0.125*N78)+N78</f>
        <v>0</v>
      </c>
      <c r="N93" s="7"/>
    </row>
    <row r="94" spans="3:14">
      <c r="C94" s="3" t="s">
        <v>11</v>
      </c>
      <c r="D94" s="8">
        <f t="shared" si="18"/>
        <v>0</v>
      </c>
      <c r="E94" s="6">
        <f t="shared" si="19"/>
        <v>9564</v>
      </c>
      <c r="F94" s="8">
        <f>N94</f>
        <v>0</v>
      </c>
      <c r="G94" s="6">
        <f t="shared" si="20"/>
        <v>9564</v>
      </c>
      <c r="H94" s="8">
        <f t="shared" si="21"/>
        <v>0</v>
      </c>
      <c r="I94" s="7"/>
      <c r="L94" s="3" t="s">
        <v>11</v>
      </c>
      <c r="M94" s="10">
        <f>(0.85*0.125*N79)+N79</f>
        <v>0</v>
      </c>
      <c r="N94" s="7"/>
    </row>
    <row r="95" spans="3:14">
      <c r="C95" s="3" t="s">
        <v>12</v>
      </c>
      <c r="D95" s="8">
        <f t="shared" si="18"/>
        <v>0</v>
      </c>
      <c r="E95" s="6">
        <f t="shared" si="19"/>
        <v>37314</v>
      </c>
      <c r="F95" s="8">
        <f>N95</f>
        <v>0</v>
      </c>
      <c r="G95" s="6">
        <f t="shared" si="20"/>
        <v>37314</v>
      </c>
      <c r="H95" s="8">
        <f t="shared" si="21"/>
        <v>0</v>
      </c>
      <c r="I95" s="7"/>
      <c r="L95" s="3" t="s">
        <v>12</v>
      </c>
      <c r="M95" s="10">
        <f>(0.85*0.125*N80)+N80</f>
        <v>0</v>
      </c>
      <c r="N95" s="7"/>
    </row>
    <row r="96" spans="3:14">
      <c r="C96" s="3" t="s">
        <v>13</v>
      </c>
      <c r="D96" s="8">
        <f t="shared" si="18"/>
        <v>0</v>
      </c>
      <c r="E96" s="6">
        <f t="shared" si="19"/>
        <v>15216</v>
      </c>
      <c r="F96" s="8">
        <f>N96</f>
        <v>0</v>
      </c>
      <c r="G96" s="6">
        <f t="shared" si="20"/>
        <v>15216</v>
      </c>
      <c r="H96" s="8">
        <f t="shared" si="21"/>
        <v>0</v>
      </c>
      <c r="I96" s="7"/>
      <c r="L96" s="3" t="s">
        <v>13</v>
      </c>
      <c r="M96" s="10">
        <f>(0.85*0.125*N81)+N81</f>
        <v>0</v>
      </c>
      <c r="N96" s="7"/>
    </row>
    <row r="97" spans="3:9">
      <c r="D97" s="11" t="s">
        <v>47</v>
      </c>
      <c r="E97" s="6">
        <f>SUM(E92:E96)</f>
        <v>140790</v>
      </c>
      <c r="F97" s="11" t="s">
        <v>47</v>
      </c>
      <c r="G97" s="6">
        <f>SUM(G92:G96)</f>
        <v>140790</v>
      </c>
      <c r="H97" s="11" t="s">
        <v>14</v>
      </c>
      <c r="I97" s="8">
        <f>SUM(I92:I96)</f>
        <v>0</v>
      </c>
    </row>
    <row r="103" spans="3:9" ht="15">
      <c r="C103" s="1" t="s">
        <v>89</v>
      </c>
    </row>
    <row r="104" spans="3:9">
      <c r="C104" t="s">
        <v>90</v>
      </c>
    </row>
    <row r="107" spans="3:9" ht="57">
      <c r="C107" s="4" t="s">
        <v>7</v>
      </c>
      <c r="D107" s="4" t="s">
        <v>69</v>
      </c>
      <c r="E107" s="4" t="s">
        <v>70</v>
      </c>
      <c r="F107" s="4" t="s">
        <v>8</v>
      </c>
      <c r="G107" s="4" t="s">
        <v>15</v>
      </c>
    </row>
    <row r="108" spans="3:9">
      <c r="C108" s="3" t="s">
        <v>10</v>
      </c>
      <c r="D108" s="8">
        <f>N92</f>
        <v>0</v>
      </c>
      <c r="E108" s="6">
        <f>E92</f>
        <v>11502</v>
      </c>
      <c r="F108" s="8">
        <f>D108*E108</f>
        <v>0</v>
      </c>
      <c r="G108" s="7"/>
    </row>
    <row r="109" spans="3:9">
      <c r="C109" s="3" t="s">
        <v>9</v>
      </c>
      <c r="D109" s="8">
        <f>N93</f>
        <v>0</v>
      </c>
      <c r="E109" s="6">
        <f t="shared" ref="E109:E112" si="22">E93</f>
        <v>67194</v>
      </c>
      <c r="F109" s="8">
        <f>D109*E109</f>
        <v>0</v>
      </c>
      <c r="G109" s="7"/>
    </row>
    <row r="110" spans="3:9">
      <c r="C110" s="3" t="s">
        <v>11</v>
      </c>
      <c r="D110" s="8">
        <f>N94</f>
        <v>0</v>
      </c>
      <c r="E110" s="6">
        <f t="shared" si="22"/>
        <v>9564</v>
      </c>
      <c r="F110" s="8">
        <f t="shared" ref="F110:F112" si="23">D110*E110</f>
        <v>0</v>
      </c>
      <c r="G110" s="7"/>
    </row>
    <row r="111" spans="3:9">
      <c r="C111" s="3" t="s">
        <v>12</v>
      </c>
      <c r="D111" s="8">
        <f>N95</f>
        <v>0</v>
      </c>
      <c r="E111" s="6">
        <f t="shared" si="22"/>
        <v>37314</v>
      </c>
      <c r="F111" s="8">
        <f t="shared" si="23"/>
        <v>0</v>
      </c>
      <c r="G111" s="7"/>
    </row>
    <row r="112" spans="3:9">
      <c r="C112" s="3" t="s">
        <v>13</v>
      </c>
      <c r="D112" s="8">
        <f>N96</f>
        <v>0</v>
      </c>
      <c r="E112" s="6">
        <f t="shared" si="22"/>
        <v>15216</v>
      </c>
      <c r="F112" s="8">
        <f t="shared" si="23"/>
        <v>0</v>
      </c>
      <c r="G112" s="7"/>
    </row>
    <row r="113" spans="4:7">
      <c r="D113" s="11" t="s">
        <v>47</v>
      </c>
      <c r="E113" s="6">
        <f>SUM(E108:E112)</f>
        <v>140790</v>
      </c>
      <c r="F113" s="11" t="s">
        <v>14</v>
      </c>
      <c r="G113" s="8">
        <f>SUM(G108:G112)</f>
        <v>0</v>
      </c>
    </row>
  </sheetData>
  <mergeCells count="15">
    <mergeCell ref="O11:R12"/>
    <mergeCell ref="S11:S12"/>
    <mergeCell ref="C2:G2"/>
    <mergeCell ref="O7:R8"/>
    <mergeCell ref="S7:S8"/>
    <mergeCell ref="O9:R10"/>
    <mergeCell ref="S9:S10"/>
    <mergeCell ref="O13:R14"/>
    <mergeCell ref="S13:S14"/>
    <mergeCell ref="O15:R16"/>
    <mergeCell ref="S15:S16"/>
    <mergeCell ref="O18:O19"/>
    <mergeCell ref="P18:P19"/>
    <mergeCell ref="Q18:Q19"/>
    <mergeCell ref="R18:S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9B656-199C-4BD5-9C9C-6BBD4CF66DAA}">
  <dimension ref="C2:P76"/>
  <sheetViews>
    <sheetView topLeftCell="A55" workbookViewId="0">
      <selection activeCell="E76" sqref="E76"/>
    </sheetView>
  </sheetViews>
  <sheetFormatPr defaultRowHeight="14.25"/>
  <cols>
    <col min="3" max="3" width="14.375" bestFit="1" customWidth="1"/>
    <col min="4" max="4" width="9.125" bestFit="1" customWidth="1"/>
    <col min="5" max="5" width="15.75" bestFit="1" customWidth="1"/>
    <col min="6" max="6" width="11.375" bestFit="1" customWidth="1"/>
    <col min="7" max="7" width="14.375" bestFit="1" customWidth="1"/>
    <col min="9" max="9" width="11.75" customWidth="1"/>
    <col min="10" max="10" width="14.375" bestFit="1" customWidth="1"/>
    <col min="11" max="11" width="11.375" bestFit="1" customWidth="1"/>
    <col min="14" max="14" width="10.75" bestFit="1" customWidth="1"/>
    <col min="15" max="15" width="41.25" bestFit="1" customWidth="1"/>
    <col min="17" max="17" width="54.875" bestFit="1" customWidth="1"/>
  </cols>
  <sheetData>
    <row r="2" spans="3:15" ht="15">
      <c r="C2" s="26" t="s">
        <v>97</v>
      </c>
      <c r="D2" s="26"/>
      <c r="E2" s="26"/>
      <c r="F2" s="26"/>
    </row>
    <row r="4" spans="3:15" ht="15">
      <c r="C4" s="1" t="s">
        <v>40</v>
      </c>
    </row>
    <row r="5" spans="3:15" ht="15">
      <c r="C5" s="19" t="s">
        <v>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7" spans="3:15" ht="18">
      <c r="C7" s="2" t="s">
        <v>41</v>
      </c>
    </row>
    <row r="8" spans="3:15">
      <c r="C8" t="s">
        <v>72</v>
      </c>
    </row>
    <row r="10" spans="3:15" ht="28.5">
      <c r="C10" s="20"/>
      <c r="D10" s="12"/>
      <c r="E10" s="4" t="s">
        <v>42</v>
      </c>
      <c r="F10" s="4" t="s">
        <v>43</v>
      </c>
      <c r="G10" s="4" t="s">
        <v>44</v>
      </c>
      <c r="H10" s="4" t="s">
        <v>45</v>
      </c>
      <c r="I10" s="4" t="s">
        <v>46</v>
      </c>
      <c r="J10" s="4" t="s">
        <v>92</v>
      </c>
      <c r="K10" s="5" t="s">
        <v>66</v>
      </c>
    </row>
    <row r="11" spans="3:15">
      <c r="D11" s="21"/>
      <c r="E11" s="9">
        <f>F21</f>
        <v>0</v>
      </c>
      <c r="F11" s="9">
        <f>F32</f>
        <v>0</v>
      </c>
      <c r="G11" s="9">
        <f>F43</f>
        <v>0</v>
      </c>
      <c r="H11" s="9">
        <f>F54</f>
        <v>0</v>
      </c>
      <c r="I11" s="9">
        <f>F65</f>
        <v>0</v>
      </c>
      <c r="J11" s="9">
        <f>F76</f>
        <v>0</v>
      </c>
      <c r="K11" s="9">
        <f>E11+F11+G11+H11+I11+J11</f>
        <v>0</v>
      </c>
    </row>
    <row r="15" spans="3:15" ht="15">
      <c r="C15" s="1" t="s">
        <v>51</v>
      </c>
    </row>
    <row r="16" spans="3:15">
      <c r="C16" t="s">
        <v>73</v>
      </c>
      <c r="J16" s="22"/>
    </row>
    <row r="19" spans="3:16" ht="28.5">
      <c r="C19" s="4" t="s">
        <v>49</v>
      </c>
      <c r="D19" s="4" t="s">
        <v>48</v>
      </c>
      <c r="E19" s="4" t="s">
        <v>50</v>
      </c>
      <c r="F19" s="4" t="s">
        <v>8</v>
      </c>
      <c r="G19" s="15"/>
      <c r="H19" s="15"/>
      <c r="I19" s="15"/>
      <c r="J19" s="15"/>
      <c r="K19" s="15"/>
      <c r="L19" s="15"/>
    </row>
    <row r="20" spans="3:16">
      <c r="C20" s="3" t="s">
        <v>52</v>
      </c>
      <c r="D20" s="17">
        <f>' 1A Czp - zamówienie podstawowe'!I38/(' 1A Czp - zamówienie podstawowe'!G38+' 1A Czp - zamówienie podstawowe'!E38)</f>
        <v>0</v>
      </c>
      <c r="E20" s="17">
        <f>60000/5</f>
        <v>12000</v>
      </c>
      <c r="F20" s="10">
        <f>D20*E20</f>
        <v>0</v>
      </c>
      <c r="G20" s="15"/>
      <c r="H20" s="20"/>
      <c r="I20" s="20"/>
      <c r="J20" s="20"/>
      <c r="K20" s="20"/>
      <c r="L20" s="15"/>
    </row>
    <row r="21" spans="3:16" ht="57">
      <c r="C21" s="15"/>
      <c r="D21" s="16"/>
      <c r="E21" s="13" t="s">
        <v>53</v>
      </c>
      <c r="F21" s="14"/>
      <c r="G21" s="15"/>
      <c r="H21" s="15"/>
      <c r="I21" s="23"/>
      <c r="J21" s="23"/>
      <c r="K21" s="23"/>
      <c r="L21" s="15"/>
    </row>
    <row r="22" spans="3:16">
      <c r="C22" s="15"/>
      <c r="D22" s="16"/>
      <c r="E22" s="23"/>
      <c r="F22" s="23"/>
      <c r="G22" s="15"/>
      <c r="H22" s="15"/>
      <c r="I22" s="23"/>
      <c r="J22" s="23"/>
      <c r="K22" s="23"/>
      <c r="L22" s="15"/>
    </row>
    <row r="23" spans="3:16">
      <c r="C23" s="15"/>
      <c r="D23" s="16"/>
      <c r="E23" s="23"/>
      <c r="F23" s="23"/>
      <c r="G23" s="15"/>
      <c r="H23" s="15"/>
      <c r="I23" s="23"/>
      <c r="J23" s="23"/>
      <c r="K23" s="23"/>
      <c r="L23" s="15"/>
      <c r="M23" s="15"/>
      <c r="N23" s="16"/>
      <c r="O23" s="16"/>
      <c r="P23" s="16"/>
    </row>
    <row r="24" spans="3:16">
      <c r="C24" s="15"/>
      <c r="D24" s="15"/>
      <c r="E24" s="15"/>
      <c r="F24" s="23"/>
      <c r="G24" s="15"/>
      <c r="H24" s="15"/>
      <c r="I24" s="15"/>
      <c r="J24" s="15"/>
      <c r="K24" s="23"/>
      <c r="L24" s="15"/>
    </row>
    <row r="25" spans="3:16">
      <c r="C25" s="15"/>
      <c r="D25" s="15"/>
      <c r="E25" s="15"/>
      <c r="F25" s="23"/>
      <c r="G25" s="15"/>
      <c r="H25" s="15"/>
      <c r="I25" s="15"/>
      <c r="J25" s="15"/>
      <c r="K25" s="23"/>
      <c r="L25" s="15"/>
    </row>
    <row r="26" spans="3:16" ht="15">
      <c r="C26" s="1" t="s">
        <v>54</v>
      </c>
      <c r="H26" s="15"/>
      <c r="I26" s="15"/>
      <c r="J26" s="15"/>
      <c r="K26" s="15"/>
      <c r="L26" s="15"/>
    </row>
    <row r="27" spans="3:16">
      <c r="C27" t="s">
        <v>74</v>
      </c>
      <c r="H27" s="15"/>
      <c r="I27" s="15"/>
      <c r="J27" s="24"/>
      <c r="K27" s="15"/>
      <c r="L27" s="15"/>
    </row>
    <row r="28" spans="3:16">
      <c r="H28" s="15"/>
      <c r="I28" s="15"/>
      <c r="J28" s="15"/>
      <c r="K28" s="15"/>
      <c r="L28" s="15"/>
    </row>
    <row r="30" spans="3:16" ht="28.5">
      <c r="C30" s="4" t="s">
        <v>49</v>
      </c>
      <c r="D30" s="4" t="s">
        <v>48</v>
      </c>
      <c r="E30" s="4" t="s">
        <v>50</v>
      </c>
      <c r="F30" s="4" t="s">
        <v>8</v>
      </c>
      <c r="G30" s="15"/>
    </row>
    <row r="31" spans="3:16">
      <c r="C31" s="3" t="s">
        <v>55</v>
      </c>
      <c r="D31" s="17">
        <f>' 1A Czp - zamówienie podstawowe'!I53/(' 1A Czp - zamówienie podstawowe'!E53+' 1A Czp - zamówienie podstawowe'!G53)</f>
        <v>0</v>
      </c>
      <c r="E31" s="17">
        <f>120000/5</f>
        <v>24000</v>
      </c>
      <c r="F31" s="10">
        <f>D31*E31</f>
        <v>0</v>
      </c>
      <c r="G31" s="15"/>
    </row>
    <row r="32" spans="3:16" ht="57">
      <c r="C32" s="15"/>
      <c r="D32" s="16"/>
      <c r="E32" s="13" t="s">
        <v>59</v>
      </c>
      <c r="F32" s="14"/>
      <c r="G32" s="15"/>
    </row>
    <row r="37" spans="3:6" ht="15">
      <c r="C37" s="1" t="s">
        <v>56</v>
      </c>
    </row>
    <row r="38" spans="3:6">
      <c r="C38" t="s">
        <v>75</v>
      </c>
    </row>
    <row r="41" spans="3:6" ht="28.5">
      <c r="C41" s="4" t="s">
        <v>49</v>
      </c>
      <c r="D41" s="4" t="s">
        <v>48</v>
      </c>
      <c r="E41" s="4" t="s">
        <v>50</v>
      </c>
      <c r="F41" s="4" t="s">
        <v>8</v>
      </c>
    </row>
    <row r="42" spans="3:6">
      <c r="C42" s="3" t="s">
        <v>57</v>
      </c>
      <c r="D42" s="17">
        <f>' 1A Czp - zamówienie podstawowe'!I68/(' 1A Czp - zamówienie podstawowe'!E68+' 1A Czp - zamówienie podstawowe'!G68)</f>
        <v>0</v>
      </c>
      <c r="E42" s="17">
        <f>180000/5</f>
        <v>36000</v>
      </c>
      <c r="F42" s="10">
        <f>D42*E42</f>
        <v>0</v>
      </c>
    </row>
    <row r="43" spans="3:6" ht="57">
      <c r="C43" s="15"/>
      <c r="D43" s="16"/>
      <c r="E43" s="13" t="s">
        <v>58</v>
      </c>
      <c r="F43" s="14"/>
    </row>
    <row r="44" spans="3:6">
      <c r="C44" s="15"/>
      <c r="D44" s="16"/>
      <c r="E44" s="23"/>
      <c r="F44" s="23"/>
    </row>
    <row r="45" spans="3:6">
      <c r="C45" s="15"/>
      <c r="D45" s="16"/>
      <c r="E45" s="23"/>
      <c r="F45" s="23"/>
    </row>
    <row r="46" spans="3:6">
      <c r="C46" s="15"/>
      <c r="D46" s="15"/>
      <c r="E46" s="15"/>
      <c r="F46" s="23"/>
    </row>
    <row r="47" spans="3:6">
      <c r="C47" s="15"/>
      <c r="D47" s="15"/>
      <c r="E47" s="15"/>
      <c r="F47" s="23"/>
    </row>
    <row r="48" spans="3:6" ht="15">
      <c r="C48" s="1" t="s">
        <v>60</v>
      </c>
    </row>
    <row r="49" spans="3:6">
      <c r="C49" t="s">
        <v>76</v>
      </c>
    </row>
    <row r="52" spans="3:6" ht="28.5">
      <c r="C52" s="4" t="s">
        <v>49</v>
      </c>
      <c r="D52" s="4" t="s">
        <v>48</v>
      </c>
      <c r="E52" s="4" t="s">
        <v>50</v>
      </c>
      <c r="F52" s="4" t="s">
        <v>8</v>
      </c>
    </row>
    <row r="53" spans="3:6">
      <c r="C53" s="3" t="s">
        <v>61</v>
      </c>
      <c r="D53" s="17">
        <f>' 1A Czp - zamówienie podstawowe'!I82/(' 1A Czp - zamówienie podstawowe'!E82+' 1A Czp - zamówienie podstawowe'!G82)</f>
        <v>0</v>
      </c>
      <c r="E53" s="17">
        <f>240000/5</f>
        <v>48000</v>
      </c>
      <c r="F53" s="10">
        <f>D53*E53</f>
        <v>0</v>
      </c>
    </row>
    <row r="54" spans="3:6" ht="57">
      <c r="C54" s="15"/>
      <c r="D54" s="16"/>
      <c r="E54" s="13" t="s">
        <v>62</v>
      </c>
      <c r="F54" s="14"/>
    </row>
    <row r="59" spans="3:6" ht="15">
      <c r="C59" s="1" t="s">
        <v>63</v>
      </c>
    </row>
    <row r="60" spans="3:6">
      <c r="C60" t="s">
        <v>77</v>
      </c>
    </row>
    <row r="63" spans="3:6" ht="28.5">
      <c r="C63" s="4" t="s">
        <v>49</v>
      </c>
      <c r="D63" s="4" t="s">
        <v>48</v>
      </c>
      <c r="E63" s="4" t="s">
        <v>50</v>
      </c>
      <c r="F63" s="4" t="s">
        <v>8</v>
      </c>
    </row>
    <row r="64" spans="3:6">
      <c r="C64" s="3" t="s">
        <v>64</v>
      </c>
      <c r="D64" s="17">
        <f>' 1A Czp - zamówienie podstawowe'!I97/(' 1A Czp - zamówienie podstawowe'!E97+' 1A Czp - zamówienie podstawowe'!G97)</f>
        <v>0</v>
      </c>
      <c r="E64" s="17">
        <f>240000/5</f>
        <v>48000</v>
      </c>
      <c r="F64" s="10">
        <f>D64*E64</f>
        <v>0</v>
      </c>
    </row>
    <row r="65" spans="3:6" ht="57">
      <c r="C65" s="15"/>
      <c r="D65" s="16"/>
      <c r="E65" s="13" t="s">
        <v>65</v>
      </c>
      <c r="F65" s="14"/>
    </row>
    <row r="70" spans="3:6" ht="15">
      <c r="C70" s="1" t="s">
        <v>93</v>
      </c>
    </row>
    <row r="71" spans="3:6">
      <c r="C71" t="s">
        <v>94</v>
      </c>
    </row>
    <row r="74" spans="3:6" ht="28.5">
      <c r="C74" s="4" t="s">
        <v>49</v>
      </c>
      <c r="D74" s="4" t="s">
        <v>48</v>
      </c>
      <c r="E74" s="4" t="s">
        <v>50</v>
      </c>
      <c r="F74" s="4" t="s">
        <v>8</v>
      </c>
    </row>
    <row r="75" spans="3:6">
      <c r="C75" s="3" t="s">
        <v>95</v>
      </c>
      <c r="D75" s="17">
        <f>' 1A Czp - zamówienie podstawowe'!G113/' 1A Czp - zamówienie podstawowe'!E113</f>
        <v>0</v>
      </c>
      <c r="E75" s="17">
        <f>60000/5</f>
        <v>12000</v>
      </c>
      <c r="F75" s="10">
        <f>D75*E75</f>
        <v>0</v>
      </c>
    </row>
    <row r="76" spans="3:6" ht="57">
      <c r="C76" s="15"/>
      <c r="D76" s="16"/>
      <c r="E76" s="13" t="s">
        <v>65</v>
      </c>
      <c r="F76" s="14"/>
    </row>
  </sheetData>
  <mergeCells count="1">
    <mergeCell ref="C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E81AC-06D1-4868-9CAB-25834272C111}">
  <dimension ref="C2:S113"/>
  <sheetViews>
    <sheetView topLeftCell="A8" workbookViewId="0">
      <selection activeCell="E22" sqref="E22"/>
    </sheetView>
  </sheetViews>
  <sheetFormatPr defaultRowHeight="14.25"/>
  <cols>
    <col min="3" max="3" width="14.375" bestFit="1" customWidth="1"/>
    <col min="4" max="4" width="12.625" bestFit="1" customWidth="1"/>
    <col min="5" max="5" width="11.375" bestFit="1" customWidth="1"/>
    <col min="6" max="6" width="13.375" bestFit="1" customWidth="1"/>
    <col min="7" max="7" width="14.375" bestFit="1" customWidth="1"/>
    <col min="9" max="10" width="14.375" bestFit="1" customWidth="1"/>
    <col min="14" max="14" width="15.625" customWidth="1"/>
    <col min="15" max="15" width="14.625" customWidth="1"/>
    <col min="16" max="16" width="10.375" customWidth="1"/>
    <col min="17" max="17" width="11.125" customWidth="1"/>
    <col min="19" max="19" width="11.5" customWidth="1"/>
  </cols>
  <sheetData>
    <row r="2" spans="3:19" ht="15">
      <c r="C2" s="26" t="s">
        <v>97</v>
      </c>
      <c r="D2" s="26"/>
      <c r="E2" s="26"/>
      <c r="F2" s="26"/>
      <c r="G2" s="26"/>
    </row>
    <row r="4" spans="3:19" ht="15">
      <c r="C4" s="1" t="s">
        <v>40</v>
      </c>
    </row>
    <row r="5" spans="3:19" ht="15">
      <c r="C5" s="19" t="s">
        <v>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3:19" ht="15" thickBot="1"/>
    <row r="7" spans="3:19" ht="18">
      <c r="C7" s="2" t="s">
        <v>0</v>
      </c>
      <c r="O7" s="27" t="s">
        <v>78</v>
      </c>
      <c r="P7" s="28"/>
      <c r="Q7" s="28"/>
      <c r="R7" s="29"/>
      <c r="S7" s="33"/>
    </row>
    <row r="8" spans="3:19" ht="15" thickBot="1">
      <c r="C8" t="s">
        <v>71</v>
      </c>
      <c r="O8" s="30"/>
      <c r="P8" s="31"/>
      <c r="Q8" s="31"/>
      <c r="R8" s="32"/>
      <c r="S8" s="34"/>
    </row>
    <row r="9" spans="3:19" ht="12.75" customHeight="1">
      <c r="O9" s="27" t="s">
        <v>68</v>
      </c>
      <c r="P9" s="28"/>
      <c r="Q9" s="28"/>
      <c r="R9" s="29"/>
      <c r="S9" s="33"/>
    </row>
    <row r="10" spans="3:19" ht="27.75" customHeight="1" thickBot="1"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39</v>
      </c>
      <c r="I10" s="4" t="s">
        <v>91</v>
      </c>
      <c r="J10" s="5" t="s">
        <v>6</v>
      </c>
      <c r="O10" s="30"/>
      <c r="P10" s="31"/>
      <c r="Q10" s="31"/>
      <c r="R10" s="32"/>
      <c r="S10" s="34"/>
    </row>
    <row r="11" spans="3:19" ht="14.25" customHeight="1">
      <c r="C11" s="9">
        <f>G23</f>
        <v>0</v>
      </c>
      <c r="D11" s="9">
        <f>I38</f>
        <v>0</v>
      </c>
      <c r="E11" s="9">
        <f>I53</f>
        <v>0</v>
      </c>
      <c r="F11" s="9">
        <f>I68</f>
        <v>0</v>
      </c>
      <c r="G11" s="9">
        <f>I82</f>
        <v>0</v>
      </c>
      <c r="H11" s="9">
        <f>I97</f>
        <v>0</v>
      </c>
      <c r="I11" s="9">
        <f>G113</f>
        <v>0</v>
      </c>
      <c r="J11" s="9">
        <f>SUM(C11:I11)</f>
        <v>0</v>
      </c>
      <c r="O11" s="27" t="s">
        <v>79</v>
      </c>
      <c r="P11" s="28"/>
      <c r="Q11" s="28"/>
      <c r="R11" s="29"/>
      <c r="S11" s="33"/>
    </row>
    <row r="12" spans="3:19" ht="15" thickBot="1">
      <c r="O12" s="30"/>
      <c r="P12" s="31"/>
      <c r="Q12" s="31"/>
      <c r="R12" s="32"/>
      <c r="S12" s="34"/>
    </row>
    <row r="13" spans="3:19" ht="15" customHeight="1">
      <c r="C13" s="1" t="s">
        <v>17</v>
      </c>
      <c r="O13" s="27" t="s">
        <v>80</v>
      </c>
      <c r="P13" s="28"/>
      <c r="Q13" s="28"/>
      <c r="R13" s="29"/>
      <c r="S13" s="33"/>
    </row>
    <row r="14" spans="3:19" ht="15" thickBot="1">
      <c r="C14" t="s">
        <v>38</v>
      </c>
      <c r="O14" s="30"/>
      <c r="P14" s="31"/>
      <c r="Q14" s="31"/>
      <c r="R14" s="32"/>
      <c r="S14" s="34"/>
    </row>
    <row r="15" spans="3:19">
      <c r="O15" s="27" t="s">
        <v>81</v>
      </c>
      <c r="P15" s="28"/>
      <c r="Q15" s="28"/>
      <c r="R15" s="29"/>
      <c r="S15" s="33"/>
    </row>
    <row r="16" spans="3:19" ht="15" thickBot="1">
      <c r="O16" s="30"/>
      <c r="P16" s="31"/>
      <c r="Q16" s="31"/>
      <c r="R16" s="32"/>
      <c r="S16" s="34"/>
    </row>
    <row r="17" spans="3:19" ht="99.75">
      <c r="C17" s="4" t="s">
        <v>7</v>
      </c>
      <c r="D17" s="4" t="s">
        <v>18</v>
      </c>
      <c r="E17" s="4" t="s">
        <v>19</v>
      </c>
      <c r="F17" s="4" t="s">
        <v>8</v>
      </c>
      <c r="G17" s="4" t="s">
        <v>15</v>
      </c>
      <c r="J17" s="4" t="s">
        <v>7</v>
      </c>
      <c r="K17" s="4" t="s">
        <v>18</v>
      </c>
      <c r="L17" s="4" t="s">
        <v>16</v>
      </c>
    </row>
    <row r="18" spans="3:19">
      <c r="C18" s="3" t="s">
        <v>10</v>
      </c>
      <c r="D18" s="8">
        <f>L18</f>
        <v>0</v>
      </c>
      <c r="E18" s="6">
        <f>6*4118</f>
        <v>24708</v>
      </c>
      <c r="F18" s="8">
        <f>D18*E18</f>
        <v>0</v>
      </c>
      <c r="G18" s="7">
        <f>F18</f>
        <v>0</v>
      </c>
      <c r="I18" s="25"/>
      <c r="J18" s="3" t="s">
        <v>10</v>
      </c>
      <c r="K18" s="10">
        <f>(0.85*0.125*S7)+S7</f>
        <v>0</v>
      </c>
      <c r="L18" s="7"/>
      <c r="O18" s="35" t="s">
        <v>7</v>
      </c>
      <c r="P18" s="35" t="s">
        <v>82</v>
      </c>
      <c r="Q18" s="35" t="s">
        <v>16</v>
      </c>
      <c r="R18" s="37" t="s">
        <v>83</v>
      </c>
      <c r="S18" s="37"/>
    </row>
    <row r="19" spans="3:19" ht="14.25" customHeight="1">
      <c r="C19" s="3" t="s">
        <v>9</v>
      </c>
      <c r="D19" s="8">
        <f>L19</f>
        <v>0</v>
      </c>
      <c r="E19" s="6">
        <f>6*13736</f>
        <v>82416</v>
      </c>
      <c r="F19" s="8">
        <f t="shared" ref="F19:F22" si="0">D19*E19</f>
        <v>0</v>
      </c>
      <c r="G19" s="7">
        <f t="shared" ref="G19:G22" si="1">F19</f>
        <v>0</v>
      </c>
      <c r="I19" s="25"/>
      <c r="J19" s="3" t="s">
        <v>9</v>
      </c>
      <c r="K19" s="10">
        <f>(0.85*0.125*S9)+S9</f>
        <v>0</v>
      </c>
      <c r="L19" s="7"/>
      <c r="O19" s="36"/>
      <c r="P19" s="36"/>
      <c r="Q19" s="36"/>
      <c r="R19" s="37"/>
      <c r="S19" s="37"/>
    </row>
    <row r="20" spans="3:19">
      <c r="C20" s="3" t="s">
        <v>11</v>
      </c>
      <c r="D20" s="8">
        <f>L20</f>
        <v>0</v>
      </c>
      <c r="E20" s="6">
        <v>0</v>
      </c>
      <c r="F20" s="8">
        <f t="shared" si="0"/>
        <v>0</v>
      </c>
      <c r="G20" s="7">
        <f t="shared" si="1"/>
        <v>0</v>
      </c>
      <c r="I20" s="25"/>
      <c r="J20" s="3" t="s">
        <v>11</v>
      </c>
      <c r="K20" s="10">
        <f>(0.85*0.125*S11)+S11</f>
        <v>0</v>
      </c>
      <c r="L20" s="7"/>
      <c r="N20" s="22"/>
      <c r="O20" s="11" t="s">
        <v>84</v>
      </c>
      <c r="P20" s="6">
        <f>(P21*0.9)+0.01</f>
        <v>0.01</v>
      </c>
      <c r="Q20" s="14"/>
      <c r="R20" s="37"/>
      <c r="S20" s="37"/>
    </row>
    <row r="21" spans="3:19">
      <c r="C21" s="3" t="s">
        <v>12</v>
      </c>
      <c r="D21" s="8">
        <f>L21</f>
        <v>0</v>
      </c>
      <c r="E21" s="6">
        <f>6*3955</f>
        <v>23730</v>
      </c>
      <c r="F21" s="8">
        <f t="shared" si="0"/>
        <v>0</v>
      </c>
      <c r="G21" s="7">
        <f t="shared" si="1"/>
        <v>0</v>
      </c>
      <c r="I21" s="25"/>
      <c r="J21" s="3" t="s">
        <v>12</v>
      </c>
      <c r="K21" s="10">
        <f>(0.85*0.125*S13)+S13</f>
        <v>0</v>
      </c>
      <c r="L21" s="7"/>
      <c r="N21" s="22"/>
      <c r="O21" s="11" t="s">
        <v>85</v>
      </c>
      <c r="P21" s="6">
        <f>((E18*S7)+(E19*S9)+(E20*S11)+(E21*S13)+(E22*S15))/((E18*0.9)+(E19)+(1.15*E20)+(1.25*E21)+(1.35*E22))</f>
        <v>0</v>
      </c>
      <c r="Q21" s="14"/>
      <c r="R21" s="37"/>
      <c r="S21" s="37"/>
    </row>
    <row r="22" spans="3:19">
      <c r="C22" s="3" t="s">
        <v>13</v>
      </c>
      <c r="D22" s="8">
        <f>L22</f>
        <v>0</v>
      </c>
      <c r="E22" s="6">
        <f>6*1853</f>
        <v>11118</v>
      </c>
      <c r="F22" s="8">
        <f t="shared" si="0"/>
        <v>0</v>
      </c>
      <c r="G22" s="7">
        <f t="shared" si="1"/>
        <v>0</v>
      </c>
      <c r="I22" s="25"/>
      <c r="J22" s="3" t="s">
        <v>13</v>
      </c>
      <c r="K22" s="10">
        <f>(0.85*0.125*S15)+S15</f>
        <v>0</v>
      </c>
      <c r="L22" s="7"/>
      <c r="N22" s="22"/>
      <c r="O22" s="11" t="s">
        <v>86</v>
      </c>
      <c r="P22" s="6">
        <f>P21*1.15</f>
        <v>0</v>
      </c>
      <c r="Q22" s="14"/>
      <c r="R22" s="37"/>
      <c r="S22" s="37"/>
    </row>
    <row r="23" spans="3:19">
      <c r="D23" s="11" t="s">
        <v>47</v>
      </c>
      <c r="E23" s="6">
        <f>SUM(E18:E22)</f>
        <v>141972</v>
      </c>
      <c r="F23" s="11" t="s">
        <v>14</v>
      </c>
      <c r="G23" s="8">
        <f>SUM(G18:G22)</f>
        <v>0</v>
      </c>
      <c r="I23" s="25"/>
      <c r="N23" s="22"/>
      <c r="O23" s="11" t="s">
        <v>87</v>
      </c>
      <c r="P23" s="6">
        <f>(P21*1.25)</f>
        <v>0</v>
      </c>
      <c r="Q23" s="14"/>
      <c r="R23" s="37"/>
      <c r="S23" s="37"/>
    </row>
    <row r="24" spans="3:19">
      <c r="N24" s="22"/>
      <c r="O24" s="11" t="s">
        <v>88</v>
      </c>
      <c r="P24" s="6">
        <f>P21*1.35</f>
        <v>0</v>
      </c>
      <c r="Q24" s="14"/>
      <c r="R24" s="37"/>
      <c r="S24" s="37"/>
    </row>
    <row r="25" spans="3:19">
      <c r="N25" s="22"/>
    </row>
    <row r="28" spans="3:19" ht="15">
      <c r="C28" s="1" t="s">
        <v>20</v>
      </c>
    </row>
    <row r="29" spans="3:19">
      <c r="C29" t="s">
        <v>37</v>
      </c>
    </row>
    <row r="32" spans="3:19" ht="57">
      <c r="C32" s="4" t="s">
        <v>7</v>
      </c>
      <c r="D32" s="4" t="s">
        <v>18</v>
      </c>
      <c r="E32" s="4" t="s">
        <v>19</v>
      </c>
      <c r="F32" s="4" t="s">
        <v>21</v>
      </c>
      <c r="G32" s="4" t="s">
        <v>22</v>
      </c>
      <c r="H32" s="4" t="s">
        <v>8</v>
      </c>
      <c r="I32" s="4" t="s">
        <v>15</v>
      </c>
      <c r="L32" s="4" t="s">
        <v>7</v>
      </c>
      <c r="M32" s="4" t="s">
        <v>21</v>
      </c>
      <c r="N32" s="4" t="s">
        <v>16</v>
      </c>
    </row>
    <row r="33" spans="3:14">
      <c r="C33" s="3" t="s">
        <v>10</v>
      </c>
      <c r="D33" s="8">
        <f>L18</f>
        <v>0</v>
      </c>
      <c r="E33" s="6">
        <f>E18</f>
        <v>24708</v>
      </c>
      <c r="F33" s="8">
        <f>N33</f>
        <v>0</v>
      </c>
      <c r="G33" s="6">
        <f>E18</f>
        <v>24708</v>
      </c>
      <c r="H33" s="8">
        <f>(D33*E33)+(F33*G33)</f>
        <v>0</v>
      </c>
      <c r="I33" s="7"/>
      <c r="L33" s="3" t="s">
        <v>10</v>
      </c>
      <c r="M33" s="10">
        <f>(0.85*0.125*L18)+L18</f>
        <v>0</v>
      </c>
      <c r="N33" s="7"/>
    </row>
    <row r="34" spans="3:14">
      <c r="C34" s="3" t="s">
        <v>9</v>
      </c>
      <c r="D34" s="8">
        <f t="shared" ref="D34:D37" si="2">L19</f>
        <v>0</v>
      </c>
      <c r="E34" s="6">
        <f t="shared" ref="E34:E38" si="3">E19</f>
        <v>82416</v>
      </c>
      <c r="F34" s="8">
        <f>N34</f>
        <v>0</v>
      </c>
      <c r="G34" s="6">
        <f t="shared" ref="G34:G37" si="4">E19</f>
        <v>82416</v>
      </c>
      <c r="H34" s="8">
        <f t="shared" ref="H34:H37" si="5">(D34*E34)+(F34*G34)</f>
        <v>0</v>
      </c>
      <c r="I34" s="7"/>
      <c r="L34" s="3" t="s">
        <v>9</v>
      </c>
      <c r="M34" s="10">
        <f>(0.85*0.125*L19)+L19</f>
        <v>0</v>
      </c>
      <c r="N34" s="7"/>
    </row>
    <row r="35" spans="3:14">
      <c r="C35" s="3" t="s">
        <v>11</v>
      </c>
      <c r="D35" s="8">
        <f t="shared" si="2"/>
        <v>0</v>
      </c>
      <c r="E35" s="6">
        <f t="shared" si="3"/>
        <v>0</v>
      </c>
      <c r="F35" s="8">
        <f>N35</f>
        <v>0</v>
      </c>
      <c r="G35" s="6">
        <f t="shared" si="4"/>
        <v>0</v>
      </c>
      <c r="H35" s="8">
        <f t="shared" si="5"/>
        <v>0</v>
      </c>
      <c r="I35" s="7"/>
      <c r="L35" s="3" t="s">
        <v>11</v>
      </c>
      <c r="M35" s="10">
        <f>(0.85*0.125*L20)+L20</f>
        <v>0</v>
      </c>
      <c r="N35" s="7"/>
    </row>
    <row r="36" spans="3:14">
      <c r="C36" s="3" t="s">
        <v>12</v>
      </c>
      <c r="D36" s="8">
        <f t="shared" si="2"/>
        <v>0</v>
      </c>
      <c r="E36" s="6">
        <f t="shared" si="3"/>
        <v>23730</v>
      </c>
      <c r="F36" s="8">
        <f>N36</f>
        <v>0</v>
      </c>
      <c r="G36" s="6">
        <f t="shared" si="4"/>
        <v>23730</v>
      </c>
      <c r="H36" s="8">
        <f t="shared" si="5"/>
        <v>0</v>
      </c>
      <c r="I36" s="7"/>
      <c r="L36" s="3" t="s">
        <v>12</v>
      </c>
      <c r="M36" s="10">
        <f>(0.85*0.125*L21)+L21</f>
        <v>0</v>
      </c>
      <c r="N36" s="7"/>
    </row>
    <row r="37" spans="3:14">
      <c r="C37" s="3" t="s">
        <v>13</v>
      </c>
      <c r="D37" s="8">
        <f t="shared" si="2"/>
        <v>0</v>
      </c>
      <c r="E37" s="6">
        <f t="shared" si="3"/>
        <v>11118</v>
      </c>
      <c r="F37" s="8">
        <f>N37</f>
        <v>0</v>
      </c>
      <c r="G37" s="6">
        <f t="shared" si="4"/>
        <v>11118</v>
      </c>
      <c r="H37" s="8">
        <f t="shared" si="5"/>
        <v>0</v>
      </c>
      <c r="I37" s="7"/>
      <c r="L37" s="3" t="s">
        <v>13</v>
      </c>
      <c r="M37" s="10">
        <f>(0.85*0.125*L22)+L22</f>
        <v>0</v>
      </c>
      <c r="N37" s="7"/>
    </row>
    <row r="38" spans="3:14">
      <c r="D38" s="11" t="s">
        <v>47</v>
      </c>
      <c r="E38" s="6">
        <f t="shared" si="3"/>
        <v>141972</v>
      </c>
      <c r="F38" s="11" t="s">
        <v>47</v>
      </c>
      <c r="G38" s="6">
        <f>SUM(G33:G37)</f>
        <v>141972</v>
      </c>
      <c r="H38" s="11" t="s">
        <v>14</v>
      </c>
      <c r="I38" s="8">
        <f>SUM(I33:I37)</f>
        <v>0</v>
      </c>
    </row>
    <row r="43" spans="3:14" ht="15">
      <c r="C43" s="1" t="s">
        <v>23</v>
      </c>
    </row>
    <row r="44" spans="3:14">
      <c r="C44" t="s">
        <v>36</v>
      </c>
    </row>
    <row r="47" spans="3:14" ht="57">
      <c r="C47" s="4" t="s">
        <v>7</v>
      </c>
      <c r="D47" s="4" t="s">
        <v>21</v>
      </c>
      <c r="E47" s="4" t="s">
        <v>22</v>
      </c>
      <c r="F47" s="4" t="s">
        <v>24</v>
      </c>
      <c r="G47" s="4" t="s">
        <v>25</v>
      </c>
      <c r="H47" s="4" t="s">
        <v>8</v>
      </c>
      <c r="I47" s="4" t="s">
        <v>15</v>
      </c>
      <c r="L47" s="4" t="s">
        <v>7</v>
      </c>
      <c r="M47" s="4" t="s">
        <v>24</v>
      </c>
      <c r="N47" s="4" t="s">
        <v>16</v>
      </c>
    </row>
    <row r="48" spans="3:14">
      <c r="C48" s="3" t="s">
        <v>10</v>
      </c>
      <c r="D48" s="8">
        <f>N33</f>
        <v>0</v>
      </c>
      <c r="E48" s="6">
        <f>E33</f>
        <v>24708</v>
      </c>
      <c r="F48" s="8">
        <f>N48</f>
        <v>0</v>
      </c>
      <c r="G48" s="6">
        <f>G33</f>
        <v>24708</v>
      </c>
      <c r="H48" s="8">
        <f>(D48*E48)+(F48*G48)</f>
        <v>0</v>
      </c>
      <c r="I48" s="7"/>
      <c r="L48" s="3" t="s">
        <v>10</v>
      </c>
      <c r="M48" s="10">
        <f>(0.85*0.125*N33)+N33</f>
        <v>0</v>
      </c>
      <c r="N48" s="7"/>
    </row>
    <row r="49" spans="3:14">
      <c r="C49" s="3" t="s">
        <v>9</v>
      </c>
      <c r="D49" s="8">
        <f t="shared" ref="D49:D52" si="6">N34</f>
        <v>0</v>
      </c>
      <c r="E49" s="6">
        <f t="shared" ref="E49:E52" si="7">E34</f>
        <v>82416</v>
      </c>
      <c r="F49" s="8">
        <f>N49</f>
        <v>0</v>
      </c>
      <c r="G49" s="6">
        <f t="shared" ref="G49:G52" si="8">G34</f>
        <v>82416</v>
      </c>
      <c r="H49" s="8">
        <f t="shared" ref="H49:H52" si="9">(D49*E49)+(F49*G49)</f>
        <v>0</v>
      </c>
      <c r="I49" s="7"/>
      <c r="L49" s="3" t="s">
        <v>9</v>
      </c>
      <c r="M49" s="10">
        <f>(0.85*0.125*N34)+N34</f>
        <v>0</v>
      </c>
      <c r="N49" s="7"/>
    </row>
    <row r="50" spans="3:14">
      <c r="C50" s="3" t="s">
        <v>11</v>
      </c>
      <c r="D50" s="8">
        <f t="shared" si="6"/>
        <v>0</v>
      </c>
      <c r="E50" s="6">
        <f t="shared" si="7"/>
        <v>0</v>
      </c>
      <c r="F50" s="8">
        <f>N50</f>
        <v>0</v>
      </c>
      <c r="G50" s="6">
        <f t="shared" si="8"/>
        <v>0</v>
      </c>
      <c r="H50" s="8">
        <f t="shared" si="9"/>
        <v>0</v>
      </c>
      <c r="I50" s="7"/>
      <c r="L50" s="3" t="s">
        <v>11</v>
      </c>
      <c r="M50" s="10">
        <f>(0.85*0.125*N35)+N35</f>
        <v>0</v>
      </c>
      <c r="N50" s="7"/>
    </row>
    <row r="51" spans="3:14">
      <c r="C51" s="3" t="s">
        <v>12</v>
      </c>
      <c r="D51" s="8">
        <f t="shared" si="6"/>
        <v>0</v>
      </c>
      <c r="E51" s="6">
        <f t="shared" si="7"/>
        <v>23730</v>
      </c>
      <c r="F51" s="8">
        <f>N51</f>
        <v>0</v>
      </c>
      <c r="G51" s="6">
        <f t="shared" si="8"/>
        <v>23730</v>
      </c>
      <c r="H51" s="8">
        <f t="shared" si="9"/>
        <v>0</v>
      </c>
      <c r="I51" s="7"/>
      <c r="L51" s="3" t="s">
        <v>12</v>
      </c>
      <c r="M51" s="10">
        <f>(0.85*0.125*N36)+N36</f>
        <v>0</v>
      </c>
      <c r="N51" s="7"/>
    </row>
    <row r="52" spans="3:14">
      <c r="C52" s="3" t="s">
        <v>13</v>
      </c>
      <c r="D52" s="8">
        <f t="shared" si="6"/>
        <v>0</v>
      </c>
      <c r="E52" s="6">
        <f t="shared" si="7"/>
        <v>11118</v>
      </c>
      <c r="F52" s="8">
        <f>N52</f>
        <v>0</v>
      </c>
      <c r="G52" s="6">
        <f t="shared" si="8"/>
        <v>11118</v>
      </c>
      <c r="H52" s="8">
        <f t="shared" si="9"/>
        <v>0</v>
      </c>
      <c r="I52" s="7"/>
      <c r="L52" s="3" t="s">
        <v>13</v>
      </c>
      <c r="M52" s="10">
        <f>(0.85*0.125*N37)+N37</f>
        <v>0</v>
      </c>
      <c r="N52" s="7"/>
    </row>
    <row r="53" spans="3:14">
      <c r="D53" s="11" t="s">
        <v>47</v>
      </c>
      <c r="E53" s="6">
        <f>SUM(E48:E52)</f>
        <v>141972</v>
      </c>
      <c r="F53" s="11" t="s">
        <v>47</v>
      </c>
      <c r="G53" s="6">
        <f>SUM(G48:G52)</f>
        <v>141972</v>
      </c>
      <c r="H53" s="11" t="s">
        <v>14</v>
      </c>
      <c r="I53" s="8">
        <f>SUM(I48:I52)</f>
        <v>0</v>
      </c>
    </row>
    <row r="58" spans="3:14" ht="15">
      <c r="C58" s="1" t="s">
        <v>26</v>
      </c>
    </row>
    <row r="59" spans="3:14">
      <c r="C59" t="s">
        <v>35</v>
      </c>
    </row>
    <row r="62" spans="3:14" ht="57">
      <c r="C62" s="4" t="s">
        <v>7</v>
      </c>
      <c r="D62" s="4" t="s">
        <v>24</v>
      </c>
      <c r="E62" s="4" t="s">
        <v>25</v>
      </c>
      <c r="F62" s="4" t="s">
        <v>27</v>
      </c>
      <c r="G62" s="4" t="s">
        <v>28</v>
      </c>
      <c r="H62" s="4" t="s">
        <v>8</v>
      </c>
      <c r="I62" s="4" t="s">
        <v>15</v>
      </c>
      <c r="L62" s="4" t="s">
        <v>7</v>
      </c>
      <c r="M62" s="4" t="s">
        <v>27</v>
      </c>
      <c r="N62" s="4" t="s">
        <v>16</v>
      </c>
    </row>
    <row r="63" spans="3:14">
      <c r="C63" s="3" t="s">
        <v>10</v>
      </c>
      <c r="D63" s="8">
        <f>N48</f>
        <v>0</v>
      </c>
      <c r="E63" s="6">
        <f>E48</f>
        <v>24708</v>
      </c>
      <c r="F63" s="8">
        <f>N63</f>
        <v>0</v>
      </c>
      <c r="G63" s="6">
        <f>G48</f>
        <v>24708</v>
      </c>
      <c r="H63" s="8">
        <f>(D63*E63)+(F63*G63)</f>
        <v>0</v>
      </c>
      <c r="I63" s="7"/>
      <c r="L63" s="3" t="s">
        <v>10</v>
      </c>
      <c r="M63" s="10">
        <f>(0.85*0.125*N48)+N48</f>
        <v>0</v>
      </c>
      <c r="N63" s="7"/>
    </row>
    <row r="64" spans="3:14">
      <c r="C64" s="3" t="s">
        <v>9</v>
      </c>
      <c r="D64" s="8">
        <f t="shared" ref="D64:D67" si="10">N49</f>
        <v>0</v>
      </c>
      <c r="E64" s="6">
        <f t="shared" ref="E64:E67" si="11">E49</f>
        <v>82416</v>
      </c>
      <c r="F64" s="8">
        <f>N64</f>
        <v>0</v>
      </c>
      <c r="G64" s="6">
        <f t="shared" ref="G64:G67" si="12">G49</f>
        <v>82416</v>
      </c>
      <c r="H64" s="8">
        <f t="shared" ref="H64:H67" si="13">(D64*E64)+(F64*G64)</f>
        <v>0</v>
      </c>
      <c r="I64" s="7"/>
      <c r="L64" s="3" t="s">
        <v>9</v>
      </c>
      <c r="M64" s="10">
        <f>(0.85*0.125*N49)+N49</f>
        <v>0</v>
      </c>
      <c r="N64" s="7"/>
    </row>
    <row r="65" spans="3:14">
      <c r="C65" s="3" t="s">
        <v>11</v>
      </c>
      <c r="D65" s="8">
        <f t="shared" si="10"/>
        <v>0</v>
      </c>
      <c r="E65" s="6">
        <f t="shared" si="11"/>
        <v>0</v>
      </c>
      <c r="F65" s="8">
        <f>N65</f>
        <v>0</v>
      </c>
      <c r="G65" s="6">
        <f t="shared" si="12"/>
        <v>0</v>
      </c>
      <c r="H65" s="8">
        <f t="shared" si="13"/>
        <v>0</v>
      </c>
      <c r="I65" s="7"/>
      <c r="L65" s="3" t="s">
        <v>11</v>
      </c>
      <c r="M65" s="10">
        <f>(0.85*0.125*N50)+N50</f>
        <v>0</v>
      </c>
      <c r="N65" s="7"/>
    </row>
    <row r="66" spans="3:14">
      <c r="C66" s="3" t="s">
        <v>12</v>
      </c>
      <c r="D66" s="8">
        <f t="shared" si="10"/>
        <v>0</v>
      </c>
      <c r="E66" s="6">
        <f t="shared" si="11"/>
        <v>23730</v>
      </c>
      <c r="F66" s="8">
        <f>N66</f>
        <v>0</v>
      </c>
      <c r="G66" s="6">
        <f t="shared" si="12"/>
        <v>23730</v>
      </c>
      <c r="H66" s="8">
        <f t="shared" si="13"/>
        <v>0</v>
      </c>
      <c r="I66" s="7"/>
      <c r="L66" s="3" t="s">
        <v>12</v>
      </c>
      <c r="M66" s="10">
        <f>(0.85*0.125*N51)+N51</f>
        <v>0</v>
      </c>
      <c r="N66" s="7"/>
    </row>
    <row r="67" spans="3:14">
      <c r="C67" s="3" t="s">
        <v>13</v>
      </c>
      <c r="D67" s="8">
        <f t="shared" si="10"/>
        <v>0</v>
      </c>
      <c r="E67" s="6">
        <f t="shared" si="11"/>
        <v>11118</v>
      </c>
      <c r="F67" s="8">
        <f>N67</f>
        <v>0</v>
      </c>
      <c r="G67" s="6">
        <f t="shared" si="12"/>
        <v>11118</v>
      </c>
      <c r="H67" s="8">
        <f t="shared" si="13"/>
        <v>0</v>
      </c>
      <c r="I67" s="7"/>
      <c r="L67" s="3" t="s">
        <v>13</v>
      </c>
      <c r="M67" s="10">
        <f>(0.85*0.125*N52)+N52</f>
        <v>0</v>
      </c>
      <c r="N67" s="7"/>
    </row>
    <row r="68" spans="3:14">
      <c r="D68" s="11" t="s">
        <v>47</v>
      </c>
      <c r="E68" s="6">
        <f>SUM(E63:E67)</f>
        <v>141972</v>
      </c>
      <c r="F68" s="11" t="s">
        <v>47</v>
      </c>
      <c r="G68" s="6">
        <f>SUM(G63:G67)</f>
        <v>141972</v>
      </c>
      <c r="H68" s="11" t="s">
        <v>14</v>
      </c>
      <c r="I68" s="8">
        <f>SUM(I63:I67)</f>
        <v>0</v>
      </c>
    </row>
    <row r="72" spans="3:14" ht="15">
      <c r="C72" s="1" t="s">
        <v>29</v>
      </c>
    </row>
    <row r="73" spans="3:14">
      <c r="C73" t="s">
        <v>34</v>
      </c>
    </row>
    <row r="76" spans="3:14" ht="57">
      <c r="C76" s="4" t="s">
        <v>7</v>
      </c>
      <c r="D76" s="4" t="s">
        <v>27</v>
      </c>
      <c r="E76" s="4" t="s">
        <v>28</v>
      </c>
      <c r="F76" s="4" t="s">
        <v>31</v>
      </c>
      <c r="G76" s="4" t="s">
        <v>32</v>
      </c>
      <c r="H76" s="4" t="s">
        <v>8</v>
      </c>
      <c r="I76" s="4" t="s">
        <v>15</v>
      </c>
      <c r="L76" s="4" t="s">
        <v>7</v>
      </c>
      <c r="M76" s="4" t="s">
        <v>31</v>
      </c>
      <c r="N76" s="4" t="s">
        <v>16</v>
      </c>
    </row>
    <row r="77" spans="3:14">
      <c r="C77" s="3" t="s">
        <v>10</v>
      </c>
      <c r="D77" s="8">
        <f>N63</f>
        <v>0</v>
      </c>
      <c r="E77" s="6">
        <f>E63</f>
        <v>24708</v>
      </c>
      <c r="F77" s="8">
        <f>N77</f>
        <v>0</v>
      </c>
      <c r="G77" s="6">
        <f>G63</f>
        <v>24708</v>
      </c>
      <c r="H77" s="8">
        <f>(D77*E77)+(F77*G77)</f>
        <v>0</v>
      </c>
      <c r="I77" s="7"/>
      <c r="L77" s="3" t="s">
        <v>10</v>
      </c>
      <c r="M77" s="10">
        <f>(0.85*0.125*N63)+N63</f>
        <v>0</v>
      </c>
      <c r="N77" s="7"/>
    </row>
    <row r="78" spans="3:14">
      <c r="C78" s="3" t="s">
        <v>9</v>
      </c>
      <c r="D78" s="8">
        <f t="shared" ref="D78:D81" si="14">N64</f>
        <v>0</v>
      </c>
      <c r="E78" s="6">
        <f t="shared" ref="E78:E81" si="15">E64</f>
        <v>82416</v>
      </c>
      <c r="F78" s="8">
        <f>N78</f>
        <v>0</v>
      </c>
      <c r="G78" s="6">
        <f t="shared" ref="G78:G81" si="16">G64</f>
        <v>82416</v>
      </c>
      <c r="H78" s="8">
        <f t="shared" ref="H78:H81" si="17">(D78*E78)+(F78*G78)</f>
        <v>0</v>
      </c>
      <c r="I78" s="7"/>
      <c r="L78" s="3" t="s">
        <v>9</v>
      </c>
      <c r="M78" s="10">
        <f>(0.85*0.125*N64)+N64</f>
        <v>0</v>
      </c>
      <c r="N78" s="7"/>
    </row>
    <row r="79" spans="3:14">
      <c r="C79" s="3" t="s">
        <v>11</v>
      </c>
      <c r="D79" s="8">
        <f t="shared" si="14"/>
        <v>0</v>
      </c>
      <c r="E79" s="6">
        <f t="shared" si="15"/>
        <v>0</v>
      </c>
      <c r="F79" s="8">
        <f>N79</f>
        <v>0</v>
      </c>
      <c r="G79" s="6">
        <f t="shared" si="16"/>
        <v>0</v>
      </c>
      <c r="H79" s="8">
        <f t="shared" si="17"/>
        <v>0</v>
      </c>
      <c r="I79" s="7"/>
      <c r="L79" s="3" t="s">
        <v>11</v>
      </c>
      <c r="M79" s="10">
        <f>(0.85*0.125*N65)+N65</f>
        <v>0</v>
      </c>
      <c r="N79" s="7"/>
    </row>
    <row r="80" spans="3:14">
      <c r="C80" s="3" t="s">
        <v>12</v>
      </c>
      <c r="D80" s="8">
        <f t="shared" si="14"/>
        <v>0</v>
      </c>
      <c r="E80" s="6">
        <f t="shared" si="15"/>
        <v>23730</v>
      </c>
      <c r="F80" s="8">
        <f>N80</f>
        <v>0</v>
      </c>
      <c r="G80" s="6">
        <f t="shared" si="16"/>
        <v>23730</v>
      </c>
      <c r="H80" s="8">
        <f t="shared" si="17"/>
        <v>0</v>
      </c>
      <c r="I80" s="7"/>
      <c r="L80" s="3" t="s">
        <v>12</v>
      </c>
      <c r="M80" s="10">
        <f>(0.85*0.125*N66)+N66</f>
        <v>0</v>
      </c>
      <c r="N80" s="7"/>
    </row>
    <row r="81" spans="3:14">
      <c r="C81" s="3" t="s">
        <v>13</v>
      </c>
      <c r="D81" s="8">
        <f t="shared" si="14"/>
        <v>0</v>
      </c>
      <c r="E81" s="6">
        <f t="shared" si="15"/>
        <v>11118</v>
      </c>
      <c r="F81" s="8">
        <f>N81</f>
        <v>0</v>
      </c>
      <c r="G81" s="6">
        <f t="shared" si="16"/>
        <v>11118</v>
      </c>
      <c r="H81" s="8">
        <f t="shared" si="17"/>
        <v>0</v>
      </c>
      <c r="I81" s="7"/>
      <c r="L81" s="3" t="s">
        <v>13</v>
      </c>
      <c r="M81" s="10">
        <f>(0.85*0.125*N67)+N67</f>
        <v>0</v>
      </c>
      <c r="N81" s="7"/>
    </row>
    <row r="82" spans="3:14">
      <c r="D82" s="11" t="s">
        <v>47</v>
      </c>
      <c r="E82" s="6">
        <f>SUM(E77:E81)</f>
        <v>141972</v>
      </c>
      <c r="F82" s="11" t="s">
        <v>47</v>
      </c>
      <c r="G82" s="6">
        <f>SUM(G77:G81)</f>
        <v>141972</v>
      </c>
      <c r="H82" s="11" t="s">
        <v>14</v>
      </c>
      <c r="I82" s="8">
        <f>SUM(I77:I81)</f>
        <v>0</v>
      </c>
    </row>
    <row r="87" spans="3:14" ht="15">
      <c r="C87" s="1" t="s">
        <v>30</v>
      </c>
    </row>
    <row r="88" spans="3:14">
      <c r="C88" t="s">
        <v>33</v>
      </c>
    </row>
    <row r="91" spans="3:14" ht="57">
      <c r="C91" s="4" t="s">
        <v>7</v>
      </c>
      <c r="D91" s="4" t="s">
        <v>24</v>
      </c>
      <c r="E91" s="4" t="s">
        <v>25</v>
      </c>
      <c r="F91" s="4" t="s">
        <v>69</v>
      </c>
      <c r="G91" s="4" t="s">
        <v>70</v>
      </c>
      <c r="H91" s="4" t="s">
        <v>8</v>
      </c>
      <c r="I91" s="4" t="s">
        <v>15</v>
      </c>
      <c r="L91" s="4" t="s">
        <v>7</v>
      </c>
      <c r="M91" s="4" t="s">
        <v>69</v>
      </c>
      <c r="N91" s="4" t="s">
        <v>16</v>
      </c>
    </row>
    <row r="92" spans="3:14">
      <c r="C92" s="3" t="s">
        <v>10</v>
      </c>
      <c r="D92" s="8">
        <f>N77</f>
        <v>0</v>
      </c>
      <c r="E92" s="6">
        <f>E77</f>
        <v>24708</v>
      </c>
      <c r="F92" s="8">
        <f>N92</f>
        <v>0</v>
      </c>
      <c r="G92" s="6">
        <f>G77</f>
        <v>24708</v>
      </c>
      <c r="H92" s="8">
        <f>(D92*E92)+(F92*G92)</f>
        <v>0</v>
      </c>
      <c r="I92" s="7"/>
      <c r="L92" s="3" t="s">
        <v>10</v>
      </c>
      <c r="M92" s="10">
        <f>(0.85*0.125*N77)+N77</f>
        <v>0</v>
      </c>
      <c r="N92" s="7"/>
    </row>
    <row r="93" spans="3:14">
      <c r="C93" s="3" t="s">
        <v>9</v>
      </c>
      <c r="D93" s="8">
        <f t="shared" ref="D93:D96" si="18">N78</f>
        <v>0</v>
      </c>
      <c r="E93" s="6">
        <f t="shared" ref="E93:E96" si="19">E78</f>
        <v>82416</v>
      </c>
      <c r="F93" s="8">
        <f>N93</f>
        <v>0</v>
      </c>
      <c r="G93" s="6">
        <f t="shared" ref="G93:G96" si="20">G78</f>
        <v>82416</v>
      </c>
      <c r="H93" s="8">
        <f t="shared" ref="H93:H96" si="21">(D93*E93)+(F93*G93)</f>
        <v>0</v>
      </c>
      <c r="I93" s="7"/>
      <c r="L93" s="3" t="s">
        <v>9</v>
      </c>
      <c r="M93" s="10">
        <f>(0.85*0.125*N78)+N78</f>
        <v>0</v>
      </c>
      <c r="N93" s="7"/>
    </row>
    <row r="94" spans="3:14">
      <c r="C94" s="3" t="s">
        <v>11</v>
      </c>
      <c r="D94" s="8">
        <f t="shared" si="18"/>
        <v>0</v>
      </c>
      <c r="E94" s="6">
        <f t="shared" si="19"/>
        <v>0</v>
      </c>
      <c r="F94" s="8">
        <f>N94</f>
        <v>0</v>
      </c>
      <c r="G94" s="6">
        <f t="shared" si="20"/>
        <v>0</v>
      </c>
      <c r="H94" s="8">
        <f t="shared" si="21"/>
        <v>0</v>
      </c>
      <c r="I94" s="7"/>
      <c r="L94" s="3" t="s">
        <v>11</v>
      </c>
      <c r="M94" s="10">
        <f>(0.85*0.125*N79)+N79</f>
        <v>0</v>
      </c>
      <c r="N94" s="7"/>
    </row>
    <row r="95" spans="3:14">
      <c r="C95" s="3" t="s">
        <v>12</v>
      </c>
      <c r="D95" s="8">
        <f t="shared" si="18"/>
        <v>0</v>
      </c>
      <c r="E95" s="6">
        <f t="shared" si="19"/>
        <v>23730</v>
      </c>
      <c r="F95" s="8">
        <f>N95</f>
        <v>0</v>
      </c>
      <c r="G95" s="6">
        <f t="shared" si="20"/>
        <v>23730</v>
      </c>
      <c r="H95" s="8">
        <f t="shared" si="21"/>
        <v>0</v>
      </c>
      <c r="I95" s="7"/>
      <c r="L95" s="3" t="s">
        <v>12</v>
      </c>
      <c r="M95" s="10">
        <f>(0.85*0.125*N80)+N80</f>
        <v>0</v>
      </c>
      <c r="N95" s="7"/>
    </row>
    <row r="96" spans="3:14">
      <c r="C96" s="3" t="s">
        <v>13</v>
      </c>
      <c r="D96" s="8">
        <f t="shared" si="18"/>
        <v>0</v>
      </c>
      <c r="E96" s="6">
        <f t="shared" si="19"/>
        <v>11118</v>
      </c>
      <c r="F96" s="8">
        <f>N96</f>
        <v>0</v>
      </c>
      <c r="G96" s="6">
        <f t="shared" si="20"/>
        <v>11118</v>
      </c>
      <c r="H96" s="8">
        <f t="shared" si="21"/>
        <v>0</v>
      </c>
      <c r="I96" s="7"/>
      <c r="L96" s="3" t="s">
        <v>13</v>
      </c>
      <c r="M96" s="10">
        <f>(0.85*0.125*N81)+N81</f>
        <v>0</v>
      </c>
      <c r="N96" s="7"/>
    </row>
    <row r="97" spans="3:9">
      <c r="D97" s="11" t="s">
        <v>47</v>
      </c>
      <c r="E97" s="6">
        <f>SUM(E92:E96)</f>
        <v>141972</v>
      </c>
      <c r="F97" s="11" t="s">
        <v>47</v>
      </c>
      <c r="G97" s="6">
        <f>SUM(G92:G96)</f>
        <v>141972</v>
      </c>
      <c r="H97" s="11" t="s">
        <v>14</v>
      </c>
      <c r="I97" s="8">
        <f>SUM(I92:I96)</f>
        <v>0</v>
      </c>
    </row>
    <row r="103" spans="3:9" ht="15">
      <c r="C103" s="1" t="s">
        <v>89</v>
      </c>
    </row>
    <row r="104" spans="3:9">
      <c r="C104" t="s">
        <v>90</v>
      </c>
    </row>
    <row r="107" spans="3:9" ht="57">
      <c r="C107" s="4" t="s">
        <v>7</v>
      </c>
      <c r="D107" s="4" t="s">
        <v>69</v>
      </c>
      <c r="E107" s="4" t="s">
        <v>70</v>
      </c>
      <c r="F107" s="4" t="s">
        <v>8</v>
      </c>
      <c r="G107" s="4" t="s">
        <v>15</v>
      </c>
    </row>
    <row r="108" spans="3:9">
      <c r="C108" s="3" t="s">
        <v>10</v>
      </c>
      <c r="D108" s="8">
        <f>N92</f>
        <v>0</v>
      </c>
      <c r="E108" s="6">
        <f>E92</f>
        <v>24708</v>
      </c>
      <c r="F108" s="8">
        <f>D108*E108</f>
        <v>0</v>
      </c>
      <c r="G108" s="7"/>
    </row>
    <row r="109" spans="3:9">
      <c r="C109" s="3" t="s">
        <v>9</v>
      </c>
      <c r="D109" s="8">
        <f>N93</f>
        <v>0</v>
      </c>
      <c r="E109" s="6">
        <f t="shared" ref="E109:E112" si="22">E93</f>
        <v>82416</v>
      </c>
      <c r="F109" s="8">
        <f>D109*E109</f>
        <v>0</v>
      </c>
      <c r="G109" s="7"/>
    </row>
    <row r="110" spans="3:9">
      <c r="C110" s="3" t="s">
        <v>11</v>
      </c>
      <c r="D110" s="8">
        <f>N94</f>
        <v>0</v>
      </c>
      <c r="E110" s="6">
        <f t="shared" si="22"/>
        <v>0</v>
      </c>
      <c r="F110" s="8">
        <f t="shared" ref="F110:F112" si="23">D110*E110</f>
        <v>0</v>
      </c>
      <c r="G110" s="7"/>
    </row>
    <row r="111" spans="3:9">
      <c r="C111" s="3" t="s">
        <v>12</v>
      </c>
      <c r="D111" s="8">
        <f>N95</f>
        <v>0</v>
      </c>
      <c r="E111" s="6">
        <f t="shared" si="22"/>
        <v>23730</v>
      </c>
      <c r="F111" s="8">
        <f t="shared" si="23"/>
        <v>0</v>
      </c>
      <c r="G111" s="7"/>
    </row>
    <row r="112" spans="3:9">
      <c r="C112" s="3" t="s">
        <v>13</v>
      </c>
      <c r="D112" s="8">
        <f>N96</f>
        <v>0</v>
      </c>
      <c r="E112" s="6">
        <f t="shared" si="22"/>
        <v>11118</v>
      </c>
      <c r="F112" s="8">
        <f t="shared" si="23"/>
        <v>0</v>
      </c>
      <c r="G112" s="7"/>
    </row>
    <row r="113" spans="4:7">
      <c r="D113" s="11" t="s">
        <v>47</v>
      </c>
      <c r="E113" s="6">
        <f>SUM(E108:E112)</f>
        <v>141972</v>
      </c>
      <c r="F113" s="11" t="s">
        <v>14</v>
      </c>
      <c r="G113" s="8">
        <f>SUM(G108:G112)</f>
        <v>0</v>
      </c>
    </row>
  </sheetData>
  <mergeCells count="15">
    <mergeCell ref="O11:R12"/>
    <mergeCell ref="S11:S12"/>
    <mergeCell ref="C2:G2"/>
    <mergeCell ref="O7:R8"/>
    <mergeCell ref="S7:S8"/>
    <mergeCell ref="O9:R10"/>
    <mergeCell ref="S9:S10"/>
    <mergeCell ref="O13:R14"/>
    <mergeCell ref="S13:S14"/>
    <mergeCell ref="O15:R16"/>
    <mergeCell ref="S15:S16"/>
    <mergeCell ref="O18:O19"/>
    <mergeCell ref="P18:P19"/>
    <mergeCell ref="Q18:Q19"/>
    <mergeCell ref="R18:S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115AF-86AD-4105-A3CC-4BFFE8FCE900}">
  <dimension ref="C2:P76"/>
  <sheetViews>
    <sheetView topLeftCell="A52" workbookViewId="0">
      <selection activeCell="E76" sqref="E76"/>
    </sheetView>
  </sheetViews>
  <sheetFormatPr defaultRowHeight="14.25"/>
  <cols>
    <col min="3" max="3" width="14.375" bestFit="1" customWidth="1"/>
    <col min="4" max="4" width="9.125" bestFit="1" customWidth="1"/>
    <col min="5" max="5" width="15.75" bestFit="1" customWidth="1"/>
    <col min="6" max="6" width="11.375" bestFit="1" customWidth="1"/>
    <col min="7" max="7" width="14.375" bestFit="1" customWidth="1"/>
    <col min="9" max="9" width="11.75" customWidth="1"/>
    <col min="10" max="10" width="14.375" bestFit="1" customWidth="1"/>
    <col min="11" max="11" width="11.375" bestFit="1" customWidth="1"/>
    <col min="14" max="14" width="10.75" bestFit="1" customWidth="1"/>
    <col min="15" max="15" width="41.25" bestFit="1" customWidth="1"/>
    <col min="17" max="17" width="54.875" bestFit="1" customWidth="1"/>
  </cols>
  <sheetData>
    <row r="2" spans="3:15" ht="15">
      <c r="C2" s="26" t="s">
        <v>97</v>
      </c>
      <c r="D2" s="26"/>
      <c r="E2" s="26"/>
      <c r="F2" s="26"/>
    </row>
    <row r="4" spans="3:15" ht="15">
      <c r="C4" s="1" t="s">
        <v>40</v>
      </c>
    </row>
    <row r="5" spans="3:15" ht="15">
      <c r="C5" s="19" t="s">
        <v>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7" spans="3:15" ht="18">
      <c r="C7" s="2" t="s">
        <v>41</v>
      </c>
    </row>
    <row r="8" spans="3:15">
      <c r="C8" t="s">
        <v>72</v>
      </c>
    </row>
    <row r="10" spans="3:15" ht="28.5">
      <c r="C10" s="20"/>
      <c r="D10" s="12"/>
      <c r="E10" s="4" t="s">
        <v>42</v>
      </c>
      <c r="F10" s="4" t="s">
        <v>43</v>
      </c>
      <c r="G10" s="4" t="s">
        <v>44</v>
      </c>
      <c r="H10" s="4" t="s">
        <v>45</v>
      </c>
      <c r="I10" s="4" t="s">
        <v>46</v>
      </c>
      <c r="J10" s="4" t="s">
        <v>92</v>
      </c>
      <c r="K10" s="5" t="s">
        <v>66</v>
      </c>
    </row>
    <row r="11" spans="3:15">
      <c r="D11" s="21"/>
      <c r="E11" s="9">
        <f>F21</f>
        <v>0</v>
      </c>
      <c r="F11" s="9">
        <f>F32</f>
        <v>0</v>
      </c>
      <c r="G11" s="9">
        <f>F43</f>
        <v>0</v>
      </c>
      <c r="H11" s="9">
        <f>F54</f>
        <v>0</v>
      </c>
      <c r="I11" s="9">
        <f>F65</f>
        <v>0</v>
      </c>
      <c r="J11" s="9">
        <f>F76</f>
        <v>0</v>
      </c>
      <c r="K11" s="9">
        <f>E11+F11+G11+H11+I11+J11</f>
        <v>0</v>
      </c>
    </row>
    <row r="15" spans="3:15" ht="15">
      <c r="C15" s="1" t="s">
        <v>51</v>
      </c>
    </row>
    <row r="16" spans="3:15">
      <c r="C16" t="s">
        <v>73</v>
      </c>
      <c r="J16" s="22"/>
    </row>
    <row r="19" spans="3:16" ht="28.5">
      <c r="C19" s="4" t="s">
        <v>49</v>
      </c>
      <c r="D19" s="4" t="s">
        <v>48</v>
      </c>
      <c r="E19" s="4" t="s">
        <v>50</v>
      </c>
      <c r="F19" s="4" t="s">
        <v>8</v>
      </c>
      <c r="G19" s="15"/>
      <c r="H19" s="15"/>
      <c r="I19" s="15"/>
      <c r="J19" s="15"/>
      <c r="K19" s="15"/>
      <c r="L19" s="15"/>
    </row>
    <row r="20" spans="3:16">
      <c r="C20" s="3" t="s">
        <v>52</v>
      </c>
      <c r="D20" s="17">
        <f>' 1A Czp - zamówienie podstawowe'!I38/(' 1A Czp - zamówienie podstawowe'!G38+' 1A Czp - zamówienie podstawowe'!E38)</f>
        <v>0</v>
      </c>
      <c r="E20" s="17">
        <f>60000/5</f>
        <v>12000</v>
      </c>
      <c r="F20" s="10">
        <f>D20*E20</f>
        <v>0</v>
      </c>
      <c r="G20" s="15"/>
      <c r="H20" s="20"/>
      <c r="I20" s="20"/>
      <c r="J20" s="20"/>
      <c r="K20" s="20"/>
      <c r="L20" s="15"/>
    </row>
    <row r="21" spans="3:16" ht="57">
      <c r="C21" s="15"/>
      <c r="D21" s="16"/>
      <c r="E21" s="13" t="s">
        <v>53</v>
      </c>
      <c r="F21" s="14"/>
      <c r="G21" s="15"/>
      <c r="H21" s="15"/>
      <c r="I21" s="23"/>
      <c r="J21" s="23"/>
      <c r="K21" s="23"/>
      <c r="L21" s="15"/>
    </row>
    <row r="22" spans="3:16">
      <c r="C22" s="15"/>
      <c r="D22" s="16"/>
      <c r="E22" s="23"/>
      <c r="F22" s="23"/>
      <c r="G22" s="15"/>
      <c r="H22" s="15"/>
      <c r="I22" s="23"/>
      <c r="J22" s="23"/>
      <c r="K22" s="23"/>
      <c r="L22" s="15"/>
    </row>
    <row r="23" spans="3:16">
      <c r="C23" s="15"/>
      <c r="D23" s="16"/>
      <c r="E23" s="23"/>
      <c r="F23" s="23"/>
      <c r="G23" s="15"/>
      <c r="H23" s="15"/>
      <c r="I23" s="23"/>
      <c r="J23" s="23"/>
      <c r="K23" s="23"/>
      <c r="L23" s="15"/>
      <c r="M23" s="15"/>
      <c r="N23" s="16"/>
      <c r="O23" s="16"/>
      <c r="P23" s="16"/>
    </row>
    <row r="24" spans="3:16">
      <c r="C24" s="15"/>
      <c r="D24" s="15"/>
      <c r="E24" s="15"/>
      <c r="F24" s="23"/>
      <c r="G24" s="15"/>
      <c r="H24" s="15"/>
      <c r="I24" s="15"/>
      <c r="J24" s="15"/>
      <c r="K24" s="23"/>
      <c r="L24" s="15"/>
    </row>
    <row r="25" spans="3:16">
      <c r="C25" s="15"/>
      <c r="D25" s="15"/>
      <c r="E25" s="15"/>
      <c r="F25" s="23"/>
      <c r="G25" s="15"/>
      <c r="H25" s="15"/>
      <c r="I25" s="15"/>
      <c r="J25" s="15"/>
      <c r="K25" s="23"/>
      <c r="L25" s="15"/>
    </row>
    <row r="26" spans="3:16" ht="15">
      <c r="C26" s="1" t="s">
        <v>54</v>
      </c>
      <c r="H26" s="15"/>
      <c r="I26" s="15"/>
      <c r="J26" s="15"/>
      <c r="K26" s="15"/>
      <c r="L26" s="15"/>
    </row>
    <row r="27" spans="3:16">
      <c r="C27" t="s">
        <v>74</v>
      </c>
      <c r="H27" s="15"/>
      <c r="I27" s="15"/>
      <c r="J27" s="24"/>
      <c r="K27" s="15"/>
      <c r="L27" s="15"/>
    </row>
    <row r="28" spans="3:16">
      <c r="H28" s="15"/>
      <c r="I28" s="15"/>
      <c r="J28" s="15"/>
      <c r="K28" s="15"/>
      <c r="L28" s="15"/>
    </row>
    <row r="30" spans="3:16" ht="28.5">
      <c r="C30" s="4" t="s">
        <v>49</v>
      </c>
      <c r="D30" s="4" t="s">
        <v>48</v>
      </c>
      <c r="E30" s="4" t="s">
        <v>50</v>
      </c>
      <c r="F30" s="4" t="s">
        <v>8</v>
      </c>
      <c r="G30" s="15"/>
    </row>
    <row r="31" spans="3:16">
      <c r="C31" s="3" t="s">
        <v>55</v>
      </c>
      <c r="D31" s="17">
        <f>' 1A Czp - zamówienie podstawowe'!I53/(' 1A Czp - zamówienie podstawowe'!E53+' 1A Czp - zamówienie podstawowe'!G53)</f>
        <v>0</v>
      </c>
      <c r="E31" s="17">
        <f>120000/5</f>
        <v>24000</v>
      </c>
      <c r="F31" s="10">
        <f>D31*E31</f>
        <v>0</v>
      </c>
      <c r="G31" s="15"/>
    </row>
    <row r="32" spans="3:16" ht="57">
      <c r="C32" s="15"/>
      <c r="D32" s="16"/>
      <c r="E32" s="13" t="s">
        <v>59</v>
      </c>
      <c r="F32" s="14"/>
      <c r="G32" s="15"/>
    </row>
    <row r="37" spans="3:6" ht="15">
      <c r="C37" s="1" t="s">
        <v>56</v>
      </c>
    </row>
    <row r="38" spans="3:6">
      <c r="C38" t="s">
        <v>75</v>
      </c>
    </row>
    <row r="41" spans="3:6" ht="28.5">
      <c r="C41" s="4" t="s">
        <v>49</v>
      </c>
      <c r="D41" s="4" t="s">
        <v>48</v>
      </c>
      <c r="E41" s="4" t="s">
        <v>50</v>
      </c>
      <c r="F41" s="4" t="s">
        <v>8</v>
      </c>
    </row>
    <row r="42" spans="3:6">
      <c r="C42" s="3" t="s">
        <v>57</v>
      </c>
      <c r="D42" s="17">
        <f>' 1A Czp - zamówienie podstawowe'!I68/(' 1A Czp - zamówienie podstawowe'!E68+' 1A Czp - zamówienie podstawowe'!G68)</f>
        <v>0</v>
      </c>
      <c r="E42" s="17">
        <f>180000/5</f>
        <v>36000</v>
      </c>
      <c r="F42" s="10">
        <f>D42*E42</f>
        <v>0</v>
      </c>
    </row>
    <row r="43" spans="3:6" ht="57">
      <c r="C43" s="15"/>
      <c r="D43" s="16"/>
      <c r="E43" s="13" t="s">
        <v>58</v>
      </c>
      <c r="F43" s="14"/>
    </row>
    <row r="44" spans="3:6">
      <c r="C44" s="15"/>
      <c r="D44" s="16"/>
      <c r="E44" s="23"/>
      <c r="F44" s="23"/>
    </row>
    <row r="45" spans="3:6">
      <c r="C45" s="15"/>
      <c r="D45" s="16"/>
      <c r="E45" s="23"/>
      <c r="F45" s="23"/>
    </row>
    <row r="46" spans="3:6">
      <c r="C46" s="15"/>
      <c r="D46" s="15"/>
      <c r="E46" s="15"/>
      <c r="F46" s="23"/>
    </row>
    <row r="47" spans="3:6">
      <c r="C47" s="15"/>
      <c r="D47" s="15"/>
      <c r="E47" s="15"/>
      <c r="F47" s="23"/>
    </row>
    <row r="48" spans="3:6" ht="15">
      <c r="C48" s="1" t="s">
        <v>60</v>
      </c>
    </row>
    <row r="49" spans="3:6">
      <c r="C49" t="s">
        <v>76</v>
      </c>
    </row>
    <row r="52" spans="3:6" ht="28.5">
      <c r="C52" s="4" t="s">
        <v>49</v>
      </c>
      <c r="D52" s="4" t="s">
        <v>48</v>
      </c>
      <c r="E52" s="4" t="s">
        <v>50</v>
      </c>
      <c r="F52" s="4" t="s">
        <v>8</v>
      </c>
    </row>
    <row r="53" spans="3:6">
      <c r="C53" s="3" t="s">
        <v>61</v>
      </c>
      <c r="D53" s="17">
        <f>' 1A Czp - zamówienie podstawowe'!I82/(' 1A Czp - zamówienie podstawowe'!E82+' 1A Czp - zamówienie podstawowe'!G82)</f>
        <v>0</v>
      </c>
      <c r="E53" s="17">
        <f>240000/5</f>
        <v>48000</v>
      </c>
      <c r="F53" s="10">
        <f>D53*E53</f>
        <v>0</v>
      </c>
    </row>
    <row r="54" spans="3:6" ht="57">
      <c r="C54" s="15"/>
      <c r="D54" s="16"/>
      <c r="E54" s="13" t="s">
        <v>62</v>
      </c>
      <c r="F54" s="14"/>
    </row>
    <row r="59" spans="3:6" ht="15">
      <c r="C59" s="1" t="s">
        <v>63</v>
      </c>
    </row>
    <row r="60" spans="3:6">
      <c r="C60" t="s">
        <v>77</v>
      </c>
    </row>
    <row r="63" spans="3:6" ht="28.5">
      <c r="C63" s="4" t="s">
        <v>49</v>
      </c>
      <c r="D63" s="4" t="s">
        <v>48</v>
      </c>
      <c r="E63" s="4" t="s">
        <v>50</v>
      </c>
      <c r="F63" s="4" t="s">
        <v>8</v>
      </c>
    </row>
    <row r="64" spans="3:6">
      <c r="C64" s="3" t="s">
        <v>64</v>
      </c>
      <c r="D64" s="17">
        <f>' 1A Czp - zamówienie podstawowe'!I97/(' 1A Czp - zamówienie podstawowe'!E97+' 1A Czp - zamówienie podstawowe'!G97)</f>
        <v>0</v>
      </c>
      <c r="E64" s="17">
        <f>240000/5</f>
        <v>48000</v>
      </c>
      <c r="F64" s="10">
        <f>D64*E64</f>
        <v>0</v>
      </c>
    </row>
    <row r="65" spans="3:6" ht="57">
      <c r="C65" s="15"/>
      <c r="D65" s="16"/>
      <c r="E65" s="13" t="s">
        <v>65</v>
      </c>
      <c r="F65" s="14"/>
    </row>
    <row r="70" spans="3:6" ht="15">
      <c r="C70" s="1" t="s">
        <v>93</v>
      </c>
    </row>
    <row r="71" spans="3:6">
      <c r="C71" t="s">
        <v>94</v>
      </c>
    </row>
    <row r="74" spans="3:6" ht="28.5">
      <c r="C74" s="4" t="s">
        <v>49</v>
      </c>
      <c r="D74" s="4" t="s">
        <v>48</v>
      </c>
      <c r="E74" s="4" t="s">
        <v>50</v>
      </c>
      <c r="F74" s="4" t="s">
        <v>8</v>
      </c>
    </row>
    <row r="75" spans="3:6">
      <c r="C75" s="3" t="s">
        <v>95</v>
      </c>
      <c r="D75" s="17">
        <f>' 1A Czp - zamówienie podstawowe'!G113/' 1A Czp - zamówienie podstawowe'!E113</f>
        <v>0</v>
      </c>
      <c r="E75" s="17">
        <f>60000/5</f>
        <v>12000</v>
      </c>
      <c r="F75" s="10">
        <f>D75*E75</f>
        <v>0</v>
      </c>
    </row>
    <row r="76" spans="3:6" ht="57">
      <c r="C76" s="15"/>
      <c r="D76" s="16"/>
      <c r="E76" s="13" t="s">
        <v>65</v>
      </c>
      <c r="F76" s="14"/>
    </row>
  </sheetData>
  <mergeCells count="1">
    <mergeCell ref="C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9E75A-4DAE-49C9-ACEE-0D7C54708D5B}">
  <dimension ref="C2:S113"/>
  <sheetViews>
    <sheetView tabSelected="1" workbookViewId="0">
      <selection activeCell="E24" sqref="E24"/>
    </sheetView>
  </sheetViews>
  <sheetFormatPr defaultRowHeight="14.25"/>
  <cols>
    <col min="3" max="3" width="14.375" bestFit="1" customWidth="1"/>
    <col min="4" max="4" width="12.625" bestFit="1" customWidth="1"/>
    <col min="5" max="5" width="11.375" bestFit="1" customWidth="1"/>
    <col min="6" max="6" width="13.375" bestFit="1" customWidth="1"/>
    <col min="7" max="7" width="14.375" bestFit="1" customWidth="1"/>
    <col min="9" max="10" width="14.375" bestFit="1" customWidth="1"/>
    <col min="14" max="14" width="15.625" customWidth="1"/>
    <col min="15" max="15" width="14.625" customWidth="1"/>
    <col min="16" max="16" width="10.375" customWidth="1"/>
    <col min="17" max="17" width="11.125" customWidth="1"/>
    <col min="19" max="19" width="11.5" customWidth="1"/>
  </cols>
  <sheetData>
    <row r="2" spans="3:19" ht="15">
      <c r="C2" s="26" t="s">
        <v>97</v>
      </c>
      <c r="D2" s="26"/>
      <c r="E2" s="26"/>
      <c r="F2" s="26"/>
      <c r="G2" s="26"/>
    </row>
    <row r="4" spans="3:19" ht="15">
      <c r="C4" s="1" t="s">
        <v>40</v>
      </c>
    </row>
    <row r="5" spans="3:19" ht="15">
      <c r="C5" s="19" t="s">
        <v>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3:19" ht="15" thickBot="1"/>
    <row r="7" spans="3:19" ht="18">
      <c r="C7" s="2" t="s">
        <v>0</v>
      </c>
      <c r="O7" s="27" t="s">
        <v>78</v>
      </c>
      <c r="P7" s="28"/>
      <c r="Q7" s="28"/>
      <c r="R7" s="29"/>
      <c r="S7" s="33"/>
    </row>
    <row r="8" spans="3:19" ht="15" thickBot="1">
      <c r="C8" t="s">
        <v>71</v>
      </c>
      <c r="O8" s="30"/>
      <c r="P8" s="31"/>
      <c r="Q8" s="31"/>
      <c r="R8" s="32"/>
      <c r="S8" s="34"/>
    </row>
    <row r="9" spans="3:19" ht="12.75" customHeight="1">
      <c r="O9" s="27" t="s">
        <v>68</v>
      </c>
      <c r="P9" s="28"/>
      <c r="Q9" s="28"/>
      <c r="R9" s="29"/>
      <c r="S9" s="33"/>
    </row>
    <row r="10" spans="3:19" ht="27.75" customHeight="1" thickBot="1"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39</v>
      </c>
      <c r="I10" s="4" t="s">
        <v>91</v>
      </c>
      <c r="J10" s="5" t="s">
        <v>6</v>
      </c>
      <c r="O10" s="30"/>
      <c r="P10" s="31"/>
      <c r="Q10" s="31"/>
      <c r="R10" s="32"/>
      <c r="S10" s="34"/>
    </row>
    <row r="11" spans="3:19" ht="14.25" customHeight="1">
      <c r="C11" s="9">
        <f>G23</f>
        <v>0</v>
      </c>
      <c r="D11" s="9">
        <f>I38</f>
        <v>0</v>
      </c>
      <c r="E11" s="9">
        <f>I53</f>
        <v>0</v>
      </c>
      <c r="F11" s="9">
        <f>I68</f>
        <v>0</v>
      </c>
      <c r="G11" s="9">
        <f>I82</f>
        <v>0</v>
      </c>
      <c r="H11" s="9">
        <f>I97</f>
        <v>0</v>
      </c>
      <c r="I11" s="9">
        <f>G113</f>
        <v>0</v>
      </c>
      <c r="J11" s="9">
        <f>SUM(C11:I11)</f>
        <v>0</v>
      </c>
      <c r="O11" s="27" t="s">
        <v>79</v>
      </c>
      <c r="P11" s="28"/>
      <c r="Q11" s="28"/>
      <c r="R11" s="29"/>
      <c r="S11" s="33"/>
    </row>
    <row r="12" spans="3:19" ht="15" thickBot="1">
      <c r="O12" s="30"/>
      <c r="P12" s="31"/>
      <c r="Q12" s="31"/>
      <c r="R12" s="32"/>
      <c r="S12" s="34"/>
    </row>
    <row r="13" spans="3:19" ht="15" customHeight="1">
      <c r="C13" s="1" t="s">
        <v>17</v>
      </c>
      <c r="O13" s="27" t="s">
        <v>80</v>
      </c>
      <c r="P13" s="28"/>
      <c r="Q13" s="28"/>
      <c r="R13" s="29"/>
      <c r="S13" s="33"/>
    </row>
    <row r="14" spans="3:19" ht="15" thickBot="1">
      <c r="C14" t="s">
        <v>38</v>
      </c>
      <c r="O14" s="30"/>
      <c r="P14" s="31"/>
      <c r="Q14" s="31"/>
      <c r="R14" s="32"/>
      <c r="S14" s="34"/>
    </row>
    <row r="15" spans="3:19">
      <c r="O15" s="27" t="s">
        <v>81</v>
      </c>
      <c r="P15" s="28"/>
      <c r="Q15" s="28"/>
      <c r="R15" s="29"/>
      <c r="S15" s="33"/>
    </row>
    <row r="16" spans="3:19" ht="15" thickBot="1">
      <c r="O16" s="30"/>
      <c r="P16" s="31"/>
      <c r="Q16" s="31"/>
      <c r="R16" s="32"/>
      <c r="S16" s="34"/>
    </row>
    <row r="17" spans="3:19" ht="99.75">
      <c r="C17" s="4" t="s">
        <v>7</v>
      </c>
      <c r="D17" s="4" t="s">
        <v>18</v>
      </c>
      <c r="E17" s="4" t="s">
        <v>19</v>
      </c>
      <c r="F17" s="4" t="s">
        <v>8</v>
      </c>
      <c r="G17" s="4" t="s">
        <v>15</v>
      </c>
      <c r="J17" s="4" t="s">
        <v>7</v>
      </c>
      <c r="K17" s="4" t="s">
        <v>18</v>
      </c>
      <c r="L17" s="4" t="s">
        <v>16</v>
      </c>
    </row>
    <row r="18" spans="3:19">
      <c r="C18" s="3" t="s">
        <v>10</v>
      </c>
      <c r="D18" s="8">
        <f>L18</f>
        <v>0</v>
      </c>
      <c r="E18" s="6">
        <f>6*1865</f>
        <v>11190</v>
      </c>
      <c r="F18" s="8">
        <f>D18*E18</f>
        <v>0</v>
      </c>
      <c r="G18" s="7">
        <f>F18</f>
        <v>0</v>
      </c>
      <c r="I18" s="25"/>
      <c r="J18" s="3" t="s">
        <v>10</v>
      </c>
      <c r="K18" s="10">
        <f>(0.85*0.125*S7)+S7</f>
        <v>0</v>
      </c>
      <c r="L18" s="7"/>
      <c r="O18" s="35" t="s">
        <v>7</v>
      </c>
      <c r="P18" s="35" t="s">
        <v>82</v>
      </c>
      <c r="Q18" s="35" t="s">
        <v>16</v>
      </c>
      <c r="R18" s="37" t="s">
        <v>83</v>
      </c>
      <c r="S18" s="37"/>
    </row>
    <row r="19" spans="3:19" ht="14.25" customHeight="1">
      <c r="C19" s="3" t="s">
        <v>9</v>
      </c>
      <c r="D19" s="8">
        <f>L19</f>
        <v>0</v>
      </c>
      <c r="E19" s="6">
        <f>6*6439</f>
        <v>38634</v>
      </c>
      <c r="F19" s="8">
        <f t="shared" ref="F19:F22" si="0">D19*E19</f>
        <v>0</v>
      </c>
      <c r="G19" s="7">
        <f t="shared" ref="G19:G22" si="1">F19</f>
        <v>0</v>
      </c>
      <c r="I19" s="25"/>
      <c r="J19" s="3" t="s">
        <v>9</v>
      </c>
      <c r="K19" s="10">
        <f>(0.85*0.125*S9)+S9</f>
        <v>0</v>
      </c>
      <c r="L19" s="7"/>
      <c r="O19" s="36"/>
      <c r="P19" s="36"/>
      <c r="Q19" s="36"/>
      <c r="R19" s="37"/>
      <c r="S19" s="37"/>
    </row>
    <row r="20" spans="3:19">
      <c r="C20" s="3" t="s">
        <v>11</v>
      </c>
      <c r="D20" s="8">
        <f>L20</f>
        <v>0</v>
      </c>
      <c r="E20" s="6">
        <f>6*4532</f>
        <v>27192</v>
      </c>
      <c r="F20" s="8">
        <f t="shared" si="0"/>
        <v>0</v>
      </c>
      <c r="G20" s="7">
        <f t="shared" si="1"/>
        <v>0</v>
      </c>
      <c r="I20" s="25"/>
      <c r="J20" s="3" t="s">
        <v>11</v>
      </c>
      <c r="K20" s="10">
        <f>(0.85*0.125*S11)+S11</f>
        <v>0</v>
      </c>
      <c r="L20" s="7"/>
      <c r="N20" s="22"/>
      <c r="O20" s="11" t="s">
        <v>84</v>
      </c>
      <c r="P20" s="6">
        <f>(P21*0.9)+0.01</f>
        <v>0.01</v>
      </c>
      <c r="Q20" s="14"/>
      <c r="R20" s="37"/>
      <c r="S20" s="37"/>
    </row>
    <row r="21" spans="3:19">
      <c r="C21" s="3" t="s">
        <v>12</v>
      </c>
      <c r="D21" s="8">
        <f>L21</f>
        <v>0</v>
      </c>
      <c r="E21" s="6">
        <f>6*7765</f>
        <v>46590</v>
      </c>
      <c r="F21" s="8">
        <f t="shared" si="0"/>
        <v>0</v>
      </c>
      <c r="G21" s="7">
        <f t="shared" si="1"/>
        <v>0</v>
      </c>
      <c r="I21" s="25"/>
      <c r="J21" s="3" t="s">
        <v>12</v>
      </c>
      <c r="K21" s="10">
        <f>(0.85*0.125*S13)+S13</f>
        <v>0</v>
      </c>
      <c r="L21" s="7"/>
      <c r="N21" s="22"/>
      <c r="O21" s="11" t="s">
        <v>85</v>
      </c>
      <c r="P21" s="6">
        <f>((E18*S7)+(E19*S9)+(E20*S11)+(E21*S13)+(E22*S15))/((E18*0.9)+(E19)+(1.15*E20)+(1.25*E21)+(1.35*E22))</f>
        <v>0</v>
      </c>
      <c r="Q21" s="14"/>
      <c r="R21" s="37"/>
      <c r="S21" s="37"/>
    </row>
    <row r="22" spans="3:19">
      <c r="C22" s="3" t="s">
        <v>13</v>
      </c>
      <c r="D22" s="8">
        <f>L22</f>
        <v>0</v>
      </c>
      <c r="E22" s="6">
        <f>6*3385</f>
        <v>20310</v>
      </c>
      <c r="F22" s="8">
        <f t="shared" si="0"/>
        <v>0</v>
      </c>
      <c r="G22" s="7">
        <f t="shared" si="1"/>
        <v>0</v>
      </c>
      <c r="I22" s="25"/>
      <c r="J22" s="3" t="s">
        <v>13</v>
      </c>
      <c r="K22" s="10">
        <f>(0.85*0.125*S15)+S15</f>
        <v>0</v>
      </c>
      <c r="L22" s="7"/>
      <c r="N22" s="22"/>
      <c r="O22" s="11" t="s">
        <v>86</v>
      </c>
      <c r="P22" s="6">
        <f>P21*1.15</f>
        <v>0</v>
      </c>
      <c r="Q22" s="14"/>
      <c r="R22" s="37"/>
      <c r="S22" s="37"/>
    </row>
    <row r="23" spans="3:19">
      <c r="D23" s="11" t="s">
        <v>47</v>
      </c>
      <c r="E23" s="6">
        <f>SUM(E18:E22)</f>
        <v>143916</v>
      </c>
      <c r="F23" s="11" t="s">
        <v>14</v>
      </c>
      <c r="G23" s="8">
        <f>SUM(G18:G22)</f>
        <v>0</v>
      </c>
      <c r="I23" s="25"/>
      <c r="N23" s="22"/>
      <c r="O23" s="11" t="s">
        <v>87</v>
      </c>
      <c r="P23" s="6">
        <f>(P21*1.25)</f>
        <v>0</v>
      </c>
      <c r="Q23" s="14"/>
      <c r="R23" s="37"/>
      <c r="S23" s="37"/>
    </row>
    <row r="24" spans="3:19">
      <c r="N24" s="22"/>
      <c r="O24" s="11" t="s">
        <v>88</v>
      </c>
      <c r="P24" s="6">
        <f>P21*1.35</f>
        <v>0</v>
      </c>
      <c r="Q24" s="14"/>
      <c r="R24" s="37"/>
      <c r="S24" s="37"/>
    </row>
    <row r="25" spans="3:19">
      <c r="N25" s="22"/>
    </row>
    <row r="28" spans="3:19" ht="15">
      <c r="C28" s="1" t="s">
        <v>20</v>
      </c>
    </row>
    <row r="29" spans="3:19">
      <c r="C29" t="s">
        <v>37</v>
      </c>
    </row>
    <row r="32" spans="3:19" ht="57">
      <c r="C32" s="4" t="s">
        <v>7</v>
      </c>
      <c r="D32" s="4" t="s">
        <v>18</v>
      </c>
      <c r="E32" s="4" t="s">
        <v>19</v>
      </c>
      <c r="F32" s="4" t="s">
        <v>21</v>
      </c>
      <c r="G32" s="4" t="s">
        <v>22</v>
      </c>
      <c r="H32" s="4" t="s">
        <v>8</v>
      </c>
      <c r="I32" s="4" t="s">
        <v>15</v>
      </c>
      <c r="L32" s="4" t="s">
        <v>7</v>
      </c>
      <c r="M32" s="4" t="s">
        <v>21</v>
      </c>
      <c r="N32" s="4" t="s">
        <v>16</v>
      </c>
    </row>
    <row r="33" spans="3:14">
      <c r="C33" s="3" t="s">
        <v>10</v>
      </c>
      <c r="D33" s="8">
        <f>L18</f>
        <v>0</v>
      </c>
      <c r="E33" s="6">
        <f>E18</f>
        <v>11190</v>
      </c>
      <c r="F33" s="8">
        <f>N33</f>
        <v>0</v>
      </c>
      <c r="G33" s="6">
        <f>E18</f>
        <v>11190</v>
      </c>
      <c r="H33" s="8">
        <f>(D33*E33)+(F33*G33)</f>
        <v>0</v>
      </c>
      <c r="I33" s="7"/>
      <c r="L33" s="3" t="s">
        <v>10</v>
      </c>
      <c r="M33" s="10">
        <f>(0.85*0.125*L18)+L18</f>
        <v>0</v>
      </c>
      <c r="N33" s="7"/>
    </row>
    <row r="34" spans="3:14">
      <c r="C34" s="3" t="s">
        <v>9</v>
      </c>
      <c r="D34" s="8">
        <f t="shared" ref="D34:D37" si="2">L19</f>
        <v>0</v>
      </c>
      <c r="E34" s="6">
        <f t="shared" ref="E34:E37" si="3">E19</f>
        <v>38634</v>
      </c>
      <c r="F34" s="8">
        <f>N34</f>
        <v>0</v>
      </c>
      <c r="G34" s="6">
        <f t="shared" ref="G34:G37" si="4">E19</f>
        <v>38634</v>
      </c>
      <c r="H34" s="8">
        <f t="shared" ref="H34:H37" si="5">(D34*E34)+(F34*G34)</f>
        <v>0</v>
      </c>
      <c r="I34" s="7"/>
      <c r="L34" s="3" t="s">
        <v>9</v>
      </c>
      <c r="M34" s="10">
        <f>(0.85*0.125*L19)+L19</f>
        <v>0</v>
      </c>
      <c r="N34" s="7"/>
    </row>
    <row r="35" spans="3:14">
      <c r="C35" s="3" t="s">
        <v>11</v>
      </c>
      <c r="D35" s="8">
        <f t="shared" si="2"/>
        <v>0</v>
      </c>
      <c r="E35" s="6">
        <f t="shared" si="3"/>
        <v>27192</v>
      </c>
      <c r="F35" s="8">
        <f>N35</f>
        <v>0</v>
      </c>
      <c r="G35" s="6">
        <f t="shared" si="4"/>
        <v>27192</v>
      </c>
      <c r="H35" s="8">
        <f t="shared" si="5"/>
        <v>0</v>
      </c>
      <c r="I35" s="7"/>
      <c r="L35" s="3" t="s">
        <v>11</v>
      </c>
      <c r="M35" s="10">
        <f>(0.85*0.125*L20)+L20</f>
        <v>0</v>
      </c>
      <c r="N35" s="7"/>
    </row>
    <row r="36" spans="3:14">
      <c r="C36" s="3" t="s">
        <v>12</v>
      </c>
      <c r="D36" s="8">
        <f t="shared" si="2"/>
        <v>0</v>
      </c>
      <c r="E36" s="6">
        <f t="shared" si="3"/>
        <v>46590</v>
      </c>
      <c r="F36" s="8">
        <f>N36</f>
        <v>0</v>
      </c>
      <c r="G36" s="6">
        <f t="shared" si="4"/>
        <v>46590</v>
      </c>
      <c r="H36" s="8">
        <f t="shared" si="5"/>
        <v>0</v>
      </c>
      <c r="I36" s="7"/>
      <c r="L36" s="3" t="s">
        <v>12</v>
      </c>
      <c r="M36" s="10">
        <f>(0.85*0.125*L21)+L21</f>
        <v>0</v>
      </c>
      <c r="N36" s="7"/>
    </row>
    <row r="37" spans="3:14">
      <c r="C37" s="3" t="s">
        <v>13</v>
      </c>
      <c r="D37" s="8">
        <f t="shared" si="2"/>
        <v>0</v>
      </c>
      <c r="E37" s="6">
        <f t="shared" si="3"/>
        <v>20310</v>
      </c>
      <c r="F37" s="8">
        <f>N37</f>
        <v>0</v>
      </c>
      <c r="G37" s="6">
        <f t="shared" si="4"/>
        <v>20310</v>
      </c>
      <c r="H37" s="8">
        <f t="shared" si="5"/>
        <v>0</v>
      </c>
      <c r="I37" s="7"/>
      <c r="L37" s="3" t="s">
        <v>13</v>
      </c>
      <c r="M37" s="10">
        <f>(0.85*0.125*L22)+L22</f>
        <v>0</v>
      </c>
      <c r="N37" s="7"/>
    </row>
    <row r="38" spans="3:14">
      <c r="D38" s="11" t="s">
        <v>47</v>
      </c>
      <c r="E38" s="6">
        <f>SUM(E33:E37)</f>
        <v>143916</v>
      </c>
      <c r="F38" s="11" t="s">
        <v>47</v>
      </c>
      <c r="G38" s="6">
        <f>SUM(G33:G37)</f>
        <v>143916</v>
      </c>
      <c r="H38" s="11" t="s">
        <v>14</v>
      </c>
      <c r="I38" s="8">
        <f>SUM(I33:I37)</f>
        <v>0</v>
      </c>
    </row>
    <row r="43" spans="3:14" ht="15">
      <c r="C43" s="1" t="s">
        <v>23</v>
      </c>
    </row>
    <row r="44" spans="3:14">
      <c r="C44" t="s">
        <v>36</v>
      </c>
    </row>
    <row r="47" spans="3:14" ht="57">
      <c r="C47" s="4" t="s">
        <v>7</v>
      </c>
      <c r="D47" s="4" t="s">
        <v>21</v>
      </c>
      <c r="E47" s="4" t="s">
        <v>22</v>
      </c>
      <c r="F47" s="4" t="s">
        <v>24</v>
      </c>
      <c r="G47" s="4" t="s">
        <v>25</v>
      </c>
      <c r="H47" s="4" t="s">
        <v>8</v>
      </c>
      <c r="I47" s="4" t="s">
        <v>15</v>
      </c>
      <c r="L47" s="4" t="s">
        <v>7</v>
      </c>
      <c r="M47" s="4" t="s">
        <v>24</v>
      </c>
      <c r="N47" s="4" t="s">
        <v>16</v>
      </c>
    </row>
    <row r="48" spans="3:14">
      <c r="C48" s="3" t="s">
        <v>10</v>
      </c>
      <c r="D48" s="8">
        <f>N33</f>
        <v>0</v>
      </c>
      <c r="E48" s="6">
        <f>E33</f>
        <v>11190</v>
      </c>
      <c r="F48" s="8">
        <f>N48</f>
        <v>0</v>
      </c>
      <c r="G48" s="6">
        <f>G33</f>
        <v>11190</v>
      </c>
      <c r="H48" s="8">
        <f>(D48*E48)+(F48*G48)</f>
        <v>0</v>
      </c>
      <c r="I48" s="7"/>
      <c r="L48" s="3" t="s">
        <v>10</v>
      </c>
      <c r="M48" s="10">
        <f>(0.85*0.125*N33)+N33</f>
        <v>0</v>
      </c>
      <c r="N48" s="7"/>
    </row>
    <row r="49" spans="3:14">
      <c r="C49" s="3" t="s">
        <v>9</v>
      </c>
      <c r="D49" s="8">
        <f t="shared" ref="D49:D52" si="6">N34</f>
        <v>0</v>
      </c>
      <c r="E49" s="6">
        <f t="shared" ref="E49:E52" si="7">E34</f>
        <v>38634</v>
      </c>
      <c r="F49" s="8">
        <f>N49</f>
        <v>0</v>
      </c>
      <c r="G49" s="6">
        <f t="shared" ref="G49:G52" si="8">G34</f>
        <v>38634</v>
      </c>
      <c r="H49" s="8">
        <f t="shared" ref="H49:H52" si="9">(D49*E49)+(F49*G49)</f>
        <v>0</v>
      </c>
      <c r="I49" s="7"/>
      <c r="L49" s="3" t="s">
        <v>9</v>
      </c>
      <c r="M49" s="10">
        <f>(0.85*0.125*N34)+N34</f>
        <v>0</v>
      </c>
      <c r="N49" s="7"/>
    </row>
    <row r="50" spans="3:14">
      <c r="C50" s="3" t="s">
        <v>11</v>
      </c>
      <c r="D50" s="8">
        <f t="shared" si="6"/>
        <v>0</v>
      </c>
      <c r="E50" s="6">
        <f t="shared" si="7"/>
        <v>27192</v>
      </c>
      <c r="F50" s="8">
        <f>N50</f>
        <v>0</v>
      </c>
      <c r="G50" s="6">
        <f t="shared" si="8"/>
        <v>27192</v>
      </c>
      <c r="H50" s="8">
        <f t="shared" si="9"/>
        <v>0</v>
      </c>
      <c r="I50" s="7"/>
      <c r="L50" s="3" t="s">
        <v>11</v>
      </c>
      <c r="M50" s="10">
        <f>(0.85*0.125*N35)+N35</f>
        <v>0</v>
      </c>
      <c r="N50" s="7"/>
    </row>
    <row r="51" spans="3:14">
      <c r="C51" s="3" t="s">
        <v>12</v>
      </c>
      <c r="D51" s="8">
        <f t="shared" si="6"/>
        <v>0</v>
      </c>
      <c r="E51" s="6">
        <f t="shared" si="7"/>
        <v>46590</v>
      </c>
      <c r="F51" s="8">
        <f>N51</f>
        <v>0</v>
      </c>
      <c r="G51" s="6">
        <f t="shared" si="8"/>
        <v>46590</v>
      </c>
      <c r="H51" s="8">
        <f t="shared" si="9"/>
        <v>0</v>
      </c>
      <c r="I51" s="7"/>
      <c r="L51" s="3" t="s">
        <v>12</v>
      </c>
      <c r="M51" s="10">
        <f>(0.85*0.125*N36)+N36</f>
        <v>0</v>
      </c>
      <c r="N51" s="7"/>
    </row>
    <row r="52" spans="3:14">
      <c r="C52" s="3" t="s">
        <v>13</v>
      </c>
      <c r="D52" s="8">
        <f t="shared" si="6"/>
        <v>0</v>
      </c>
      <c r="E52" s="6">
        <f t="shared" si="7"/>
        <v>20310</v>
      </c>
      <c r="F52" s="8">
        <f>N52</f>
        <v>0</v>
      </c>
      <c r="G52" s="6">
        <f t="shared" si="8"/>
        <v>20310</v>
      </c>
      <c r="H52" s="8">
        <f t="shared" si="9"/>
        <v>0</v>
      </c>
      <c r="I52" s="7"/>
      <c r="L52" s="3" t="s">
        <v>13</v>
      </c>
      <c r="M52" s="10">
        <f>(0.85*0.125*N37)+N37</f>
        <v>0</v>
      </c>
      <c r="N52" s="7"/>
    </row>
    <row r="53" spans="3:14">
      <c r="D53" s="11" t="s">
        <v>47</v>
      </c>
      <c r="E53" s="6">
        <f>SUM(E48:E52)</f>
        <v>143916</v>
      </c>
      <c r="F53" s="11" t="s">
        <v>47</v>
      </c>
      <c r="G53" s="6">
        <f>SUM(G48:G52)</f>
        <v>143916</v>
      </c>
      <c r="H53" s="11" t="s">
        <v>14</v>
      </c>
      <c r="I53" s="8">
        <f>SUM(I48:I52)</f>
        <v>0</v>
      </c>
    </row>
    <row r="58" spans="3:14" ht="15">
      <c r="C58" s="1" t="s">
        <v>26</v>
      </c>
    </row>
    <row r="59" spans="3:14">
      <c r="C59" t="s">
        <v>35</v>
      </c>
    </row>
    <row r="62" spans="3:14" ht="57">
      <c r="C62" s="4" t="s">
        <v>7</v>
      </c>
      <c r="D62" s="4" t="s">
        <v>24</v>
      </c>
      <c r="E62" s="4" t="s">
        <v>25</v>
      </c>
      <c r="F62" s="4" t="s">
        <v>27</v>
      </c>
      <c r="G62" s="4" t="s">
        <v>28</v>
      </c>
      <c r="H62" s="4" t="s">
        <v>8</v>
      </c>
      <c r="I62" s="4" t="s">
        <v>15</v>
      </c>
      <c r="L62" s="4" t="s">
        <v>7</v>
      </c>
      <c r="M62" s="4" t="s">
        <v>27</v>
      </c>
      <c r="N62" s="4" t="s">
        <v>16</v>
      </c>
    </row>
    <row r="63" spans="3:14">
      <c r="C63" s="3" t="s">
        <v>10</v>
      </c>
      <c r="D63" s="8">
        <f>N48</f>
        <v>0</v>
      </c>
      <c r="E63" s="6">
        <f>E48</f>
        <v>11190</v>
      </c>
      <c r="F63" s="8">
        <f>N63</f>
        <v>0</v>
      </c>
      <c r="G63" s="6">
        <f>G48</f>
        <v>11190</v>
      </c>
      <c r="H63" s="8">
        <f>(D63*E63)+(F63*G63)</f>
        <v>0</v>
      </c>
      <c r="I63" s="7"/>
      <c r="L63" s="3" t="s">
        <v>10</v>
      </c>
      <c r="M63" s="10">
        <f>(0.85*0.125*N48)+N48</f>
        <v>0</v>
      </c>
      <c r="N63" s="7"/>
    </row>
    <row r="64" spans="3:14">
      <c r="C64" s="3" t="s">
        <v>9</v>
      </c>
      <c r="D64" s="8">
        <f t="shared" ref="D64:D67" si="10">N49</f>
        <v>0</v>
      </c>
      <c r="E64" s="6">
        <f t="shared" ref="E64:E67" si="11">E49</f>
        <v>38634</v>
      </c>
      <c r="F64" s="8">
        <f>N64</f>
        <v>0</v>
      </c>
      <c r="G64" s="6">
        <f t="shared" ref="G64:G67" si="12">G49</f>
        <v>38634</v>
      </c>
      <c r="H64" s="8">
        <f t="shared" ref="H64:H67" si="13">(D64*E64)+(F64*G64)</f>
        <v>0</v>
      </c>
      <c r="I64" s="7"/>
      <c r="L64" s="3" t="s">
        <v>9</v>
      </c>
      <c r="M64" s="10">
        <f>(0.85*0.125*N49)+N49</f>
        <v>0</v>
      </c>
      <c r="N64" s="7"/>
    </row>
    <row r="65" spans="3:14">
      <c r="C65" s="3" t="s">
        <v>11</v>
      </c>
      <c r="D65" s="8">
        <f t="shared" si="10"/>
        <v>0</v>
      </c>
      <c r="E65" s="6">
        <f t="shared" si="11"/>
        <v>27192</v>
      </c>
      <c r="F65" s="8">
        <f>N65</f>
        <v>0</v>
      </c>
      <c r="G65" s="6">
        <f t="shared" si="12"/>
        <v>27192</v>
      </c>
      <c r="H65" s="8">
        <f t="shared" si="13"/>
        <v>0</v>
      </c>
      <c r="I65" s="7"/>
      <c r="L65" s="3" t="s">
        <v>11</v>
      </c>
      <c r="M65" s="10">
        <f>(0.85*0.125*N50)+N50</f>
        <v>0</v>
      </c>
      <c r="N65" s="7"/>
    </row>
    <row r="66" spans="3:14">
      <c r="C66" s="3" t="s">
        <v>12</v>
      </c>
      <c r="D66" s="8">
        <f t="shared" si="10"/>
        <v>0</v>
      </c>
      <c r="E66" s="6">
        <f t="shared" si="11"/>
        <v>46590</v>
      </c>
      <c r="F66" s="8">
        <f>N66</f>
        <v>0</v>
      </c>
      <c r="G66" s="6">
        <f t="shared" si="12"/>
        <v>46590</v>
      </c>
      <c r="H66" s="8">
        <f t="shared" si="13"/>
        <v>0</v>
      </c>
      <c r="I66" s="7"/>
      <c r="L66" s="3" t="s">
        <v>12</v>
      </c>
      <c r="M66" s="10">
        <f>(0.85*0.125*N51)+N51</f>
        <v>0</v>
      </c>
      <c r="N66" s="7"/>
    </row>
    <row r="67" spans="3:14">
      <c r="C67" s="3" t="s">
        <v>13</v>
      </c>
      <c r="D67" s="8">
        <f t="shared" si="10"/>
        <v>0</v>
      </c>
      <c r="E67" s="6">
        <f t="shared" si="11"/>
        <v>20310</v>
      </c>
      <c r="F67" s="8">
        <f>N67</f>
        <v>0</v>
      </c>
      <c r="G67" s="6">
        <f t="shared" si="12"/>
        <v>20310</v>
      </c>
      <c r="H67" s="8">
        <f t="shared" si="13"/>
        <v>0</v>
      </c>
      <c r="I67" s="7"/>
      <c r="L67" s="3" t="s">
        <v>13</v>
      </c>
      <c r="M67" s="10">
        <f>(0.85*0.125*N52)+N52</f>
        <v>0</v>
      </c>
      <c r="N67" s="7"/>
    </row>
    <row r="68" spans="3:14">
      <c r="D68" s="11" t="s">
        <v>47</v>
      </c>
      <c r="E68" s="6">
        <f>SUM(E63:E67)</f>
        <v>143916</v>
      </c>
      <c r="F68" s="11" t="s">
        <v>47</v>
      </c>
      <c r="G68" s="6">
        <f>SUM(G63:G67)</f>
        <v>143916</v>
      </c>
      <c r="H68" s="11" t="s">
        <v>14</v>
      </c>
      <c r="I68" s="8">
        <f>SUM(I63:I67)</f>
        <v>0</v>
      </c>
    </row>
    <row r="72" spans="3:14" ht="15">
      <c r="C72" s="1" t="s">
        <v>29</v>
      </c>
    </row>
    <row r="73" spans="3:14">
      <c r="C73" t="s">
        <v>34</v>
      </c>
    </row>
    <row r="76" spans="3:14" ht="57">
      <c r="C76" s="4" t="s">
        <v>7</v>
      </c>
      <c r="D76" s="4" t="s">
        <v>27</v>
      </c>
      <c r="E76" s="4" t="s">
        <v>28</v>
      </c>
      <c r="F76" s="4" t="s">
        <v>31</v>
      </c>
      <c r="G76" s="4" t="s">
        <v>32</v>
      </c>
      <c r="H76" s="4" t="s">
        <v>8</v>
      </c>
      <c r="I76" s="4" t="s">
        <v>15</v>
      </c>
      <c r="L76" s="4" t="s">
        <v>7</v>
      </c>
      <c r="M76" s="4" t="s">
        <v>31</v>
      </c>
      <c r="N76" s="4" t="s">
        <v>16</v>
      </c>
    </row>
    <row r="77" spans="3:14">
      <c r="C77" s="3" t="s">
        <v>10</v>
      </c>
      <c r="D77" s="8">
        <f>N63</f>
        <v>0</v>
      </c>
      <c r="E77" s="6">
        <f>E63</f>
        <v>11190</v>
      </c>
      <c r="F77" s="8">
        <f>N77</f>
        <v>0</v>
      </c>
      <c r="G77" s="6">
        <f>G63</f>
        <v>11190</v>
      </c>
      <c r="H77" s="8">
        <f>(D77*E77)+(F77*G77)</f>
        <v>0</v>
      </c>
      <c r="I77" s="7"/>
      <c r="L77" s="3" t="s">
        <v>10</v>
      </c>
      <c r="M77" s="10">
        <f>(0.85*0.125*N63)+N63</f>
        <v>0</v>
      </c>
      <c r="N77" s="7"/>
    </row>
    <row r="78" spans="3:14">
      <c r="C78" s="3" t="s">
        <v>9</v>
      </c>
      <c r="D78" s="8">
        <f t="shared" ref="D78:D81" si="14">N64</f>
        <v>0</v>
      </c>
      <c r="E78" s="6">
        <f t="shared" ref="E78:E81" si="15">E64</f>
        <v>38634</v>
      </c>
      <c r="F78" s="8">
        <f>N78</f>
        <v>0</v>
      </c>
      <c r="G78" s="6">
        <f t="shared" ref="G78:G81" si="16">G64</f>
        <v>38634</v>
      </c>
      <c r="H78" s="8">
        <f t="shared" ref="H78:H81" si="17">(D78*E78)+(F78*G78)</f>
        <v>0</v>
      </c>
      <c r="I78" s="7"/>
      <c r="L78" s="3" t="s">
        <v>9</v>
      </c>
      <c r="M78" s="10">
        <f>(0.85*0.125*N64)+N64</f>
        <v>0</v>
      </c>
      <c r="N78" s="7"/>
    </row>
    <row r="79" spans="3:14">
      <c r="C79" s="3" t="s">
        <v>11</v>
      </c>
      <c r="D79" s="8">
        <f t="shared" si="14"/>
        <v>0</v>
      </c>
      <c r="E79" s="6">
        <f t="shared" si="15"/>
        <v>27192</v>
      </c>
      <c r="F79" s="8">
        <f>N79</f>
        <v>0</v>
      </c>
      <c r="G79" s="6">
        <f t="shared" si="16"/>
        <v>27192</v>
      </c>
      <c r="H79" s="8">
        <f t="shared" si="17"/>
        <v>0</v>
      </c>
      <c r="I79" s="7"/>
      <c r="L79" s="3" t="s">
        <v>11</v>
      </c>
      <c r="M79" s="10">
        <f>(0.85*0.125*N65)+N65</f>
        <v>0</v>
      </c>
      <c r="N79" s="7"/>
    </row>
    <row r="80" spans="3:14">
      <c r="C80" s="3" t="s">
        <v>12</v>
      </c>
      <c r="D80" s="8">
        <f t="shared" si="14"/>
        <v>0</v>
      </c>
      <c r="E80" s="6">
        <f t="shared" si="15"/>
        <v>46590</v>
      </c>
      <c r="F80" s="8">
        <f>N80</f>
        <v>0</v>
      </c>
      <c r="G80" s="6">
        <f t="shared" si="16"/>
        <v>46590</v>
      </c>
      <c r="H80" s="8">
        <f t="shared" si="17"/>
        <v>0</v>
      </c>
      <c r="I80" s="7"/>
      <c r="L80" s="3" t="s">
        <v>12</v>
      </c>
      <c r="M80" s="10">
        <f>(0.85*0.125*N66)+N66</f>
        <v>0</v>
      </c>
      <c r="N80" s="7"/>
    </row>
    <row r="81" spans="3:14">
      <c r="C81" s="3" t="s">
        <v>13</v>
      </c>
      <c r="D81" s="8">
        <f t="shared" si="14"/>
        <v>0</v>
      </c>
      <c r="E81" s="6">
        <f t="shared" si="15"/>
        <v>20310</v>
      </c>
      <c r="F81" s="8">
        <f>N81</f>
        <v>0</v>
      </c>
      <c r="G81" s="6">
        <f t="shared" si="16"/>
        <v>20310</v>
      </c>
      <c r="H81" s="8">
        <f t="shared" si="17"/>
        <v>0</v>
      </c>
      <c r="I81" s="7"/>
      <c r="L81" s="3" t="s">
        <v>13</v>
      </c>
      <c r="M81" s="10">
        <f>(0.85*0.125*N67)+N67</f>
        <v>0</v>
      </c>
      <c r="N81" s="7"/>
    </row>
    <row r="82" spans="3:14">
      <c r="D82" s="11" t="s">
        <v>47</v>
      </c>
      <c r="E82" s="6">
        <f>SUM(E77:E81)</f>
        <v>143916</v>
      </c>
      <c r="F82" s="11" t="s">
        <v>47</v>
      </c>
      <c r="G82" s="6">
        <f>SUM(G77:G81)</f>
        <v>143916</v>
      </c>
      <c r="H82" s="11" t="s">
        <v>14</v>
      </c>
      <c r="I82" s="8">
        <f>SUM(I77:I81)</f>
        <v>0</v>
      </c>
    </row>
    <row r="87" spans="3:14" ht="15">
      <c r="C87" s="1" t="s">
        <v>30</v>
      </c>
    </row>
    <row r="88" spans="3:14">
      <c r="C88" t="s">
        <v>33</v>
      </c>
    </row>
    <row r="91" spans="3:14" ht="57">
      <c r="C91" s="4" t="s">
        <v>7</v>
      </c>
      <c r="D91" s="4" t="s">
        <v>24</v>
      </c>
      <c r="E91" s="4" t="s">
        <v>25</v>
      </c>
      <c r="F91" s="4" t="s">
        <v>69</v>
      </c>
      <c r="G91" s="4" t="s">
        <v>70</v>
      </c>
      <c r="H91" s="4" t="s">
        <v>8</v>
      </c>
      <c r="I91" s="4" t="s">
        <v>15</v>
      </c>
      <c r="L91" s="4" t="s">
        <v>7</v>
      </c>
      <c r="M91" s="4" t="s">
        <v>69</v>
      </c>
      <c r="N91" s="4" t="s">
        <v>16</v>
      </c>
    </row>
    <row r="92" spans="3:14">
      <c r="C92" s="3" t="s">
        <v>10</v>
      </c>
      <c r="D92" s="8">
        <f>N77</f>
        <v>0</v>
      </c>
      <c r="E92" s="6">
        <f>E77</f>
        <v>11190</v>
      </c>
      <c r="F92" s="8">
        <f>N92</f>
        <v>0</v>
      </c>
      <c r="G92" s="6">
        <f>G77</f>
        <v>11190</v>
      </c>
      <c r="H92" s="8">
        <f>(D92*E92)+(F92*G92)</f>
        <v>0</v>
      </c>
      <c r="I92" s="7"/>
      <c r="L92" s="3" t="s">
        <v>10</v>
      </c>
      <c r="M92" s="10">
        <f>(0.85*0.125*N77)+N77</f>
        <v>0</v>
      </c>
      <c r="N92" s="7"/>
    </row>
    <row r="93" spans="3:14">
      <c r="C93" s="3" t="s">
        <v>9</v>
      </c>
      <c r="D93" s="8">
        <f t="shared" ref="D93:D96" si="18">N78</f>
        <v>0</v>
      </c>
      <c r="E93" s="6">
        <f t="shared" ref="E93:E96" si="19">E78</f>
        <v>38634</v>
      </c>
      <c r="F93" s="8">
        <f>N93</f>
        <v>0</v>
      </c>
      <c r="G93" s="6">
        <f t="shared" ref="G93:G96" si="20">G78</f>
        <v>38634</v>
      </c>
      <c r="H93" s="8">
        <f t="shared" ref="H93:H96" si="21">(D93*E93)+(F93*G93)</f>
        <v>0</v>
      </c>
      <c r="I93" s="7"/>
      <c r="L93" s="3" t="s">
        <v>9</v>
      </c>
      <c r="M93" s="10">
        <f>(0.85*0.125*N78)+N78</f>
        <v>0</v>
      </c>
      <c r="N93" s="7"/>
    </row>
    <row r="94" spans="3:14">
      <c r="C94" s="3" t="s">
        <v>11</v>
      </c>
      <c r="D94" s="8">
        <f t="shared" si="18"/>
        <v>0</v>
      </c>
      <c r="E94" s="6">
        <f t="shared" si="19"/>
        <v>27192</v>
      </c>
      <c r="F94" s="8">
        <f>N94</f>
        <v>0</v>
      </c>
      <c r="G94" s="6">
        <f t="shared" si="20"/>
        <v>27192</v>
      </c>
      <c r="H94" s="8">
        <f t="shared" si="21"/>
        <v>0</v>
      </c>
      <c r="I94" s="7"/>
      <c r="L94" s="3" t="s">
        <v>11</v>
      </c>
      <c r="M94" s="10">
        <f>(0.85*0.125*N79)+N79</f>
        <v>0</v>
      </c>
      <c r="N94" s="7"/>
    </row>
    <row r="95" spans="3:14">
      <c r="C95" s="3" t="s">
        <v>12</v>
      </c>
      <c r="D95" s="8">
        <f t="shared" si="18"/>
        <v>0</v>
      </c>
      <c r="E95" s="6">
        <f t="shared" si="19"/>
        <v>46590</v>
      </c>
      <c r="F95" s="8">
        <f>N95</f>
        <v>0</v>
      </c>
      <c r="G95" s="6">
        <f t="shared" si="20"/>
        <v>46590</v>
      </c>
      <c r="H95" s="8">
        <f t="shared" si="21"/>
        <v>0</v>
      </c>
      <c r="I95" s="7"/>
      <c r="L95" s="3" t="s">
        <v>12</v>
      </c>
      <c r="M95" s="10">
        <f>(0.85*0.125*N80)+N80</f>
        <v>0</v>
      </c>
      <c r="N95" s="7"/>
    </row>
    <row r="96" spans="3:14">
      <c r="C96" s="3" t="s">
        <v>13</v>
      </c>
      <c r="D96" s="8">
        <f t="shared" si="18"/>
        <v>0</v>
      </c>
      <c r="E96" s="6">
        <f t="shared" si="19"/>
        <v>20310</v>
      </c>
      <c r="F96" s="8">
        <f>N96</f>
        <v>0</v>
      </c>
      <c r="G96" s="6">
        <f t="shared" si="20"/>
        <v>20310</v>
      </c>
      <c r="H96" s="8">
        <f t="shared" si="21"/>
        <v>0</v>
      </c>
      <c r="I96" s="7"/>
      <c r="L96" s="3" t="s">
        <v>13</v>
      </c>
      <c r="M96" s="10">
        <f>(0.85*0.125*N81)+N81</f>
        <v>0</v>
      </c>
      <c r="N96" s="7"/>
    </row>
    <row r="97" spans="3:9">
      <c r="D97" s="11" t="s">
        <v>47</v>
      </c>
      <c r="E97" s="6">
        <f>SUM(E92:E96)</f>
        <v>143916</v>
      </c>
      <c r="F97" s="11" t="s">
        <v>47</v>
      </c>
      <c r="G97" s="6">
        <f>SUM(G92:G96)</f>
        <v>143916</v>
      </c>
      <c r="H97" s="11" t="s">
        <v>14</v>
      </c>
      <c r="I97" s="8">
        <f>SUM(I92:I96)</f>
        <v>0</v>
      </c>
    </row>
    <row r="103" spans="3:9" ht="15">
      <c r="C103" s="1" t="s">
        <v>89</v>
      </c>
    </row>
    <row r="104" spans="3:9">
      <c r="C104" t="s">
        <v>90</v>
      </c>
    </row>
    <row r="107" spans="3:9" ht="57">
      <c r="C107" s="4" t="s">
        <v>7</v>
      </c>
      <c r="D107" s="4" t="s">
        <v>69</v>
      </c>
      <c r="E107" s="4" t="s">
        <v>70</v>
      </c>
      <c r="F107" s="4" t="s">
        <v>8</v>
      </c>
      <c r="G107" s="4" t="s">
        <v>15</v>
      </c>
    </row>
    <row r="108" spans="3:9">
      <c r="C108" s="3" t="s">
        <v>10</v>
      </c>
      <c r="D108" s="8">
        <f>N92</f>
        <v>0</v>
      </c>
      <c r="E108" s="6">
        <f>E92</f>
        <v>11190</v>
      </c>
      <c r="F108" s="8">
        <f>D108*E108</f>
        <v>0</v>
      </c>
      <c r="G108" s="7"/>
    </row>
    <row r="109" spans="3:9">
      <c r="C109" s="3" t="s">
        <v>9</v>
      </c>
      <c r="D109" s="8">
        <f>N93</f>
        <v>0</v>
      </c>
      <c r="E109" s="6">
        <f t="shared" ref="E109:E112" si="22">E93</f>
        <v>38634</v>
      </c>
      <c r="F109" s="8">
        <f>D109*E109</f>
        <v>0</v>
      </c>
      <c r="G109" s="7"/>
    </row>
    <row r="110" spans="3:9">
      <c r="C110" s="3" t="s">
        <v>11</v>
      </c>
      <c r="D110" s="8">
        <f>N94</f>
        <v>0</v>
      </c>
      <c r="E110" s="6">
        <f t="shared" si="22"/>
        <v>27192</v>
      </c>
      <c r="F110" s="8">
        <f t="shared" ref="F110:F112" si="23">D110*E110</f>
        <v>0</v>
      </c>
      <c r="G110" s="7"/>
    </row>
    <row r="111" spans="3:9">
      <c r="C111" s="3" t="s">
        <v>12</v>
      </c>
      <c r="D111" s="8">
        <f>N95</f>
        <v>0</v>
      </c>
      <c r="E111" s="6">
        <f t="shared" si="22"/>
        <v>46590</v>
      </c>
      <c r="F111" s="8">
        <f t="shared" si="23"/>
        <v>0</v>
      </c>
      <c r="G111" s="7"/>
    </row>
    <row r="112" spans="3:9">
      <c r="C112" s="3" t="s">
        <v>13</v>
      </c>
      <c r="D112" s="8">
        <f>N96</f>
        <v>0</v>
      </c>
      <c r="E112" s="6">
        <f t="shared" si="22"/>
        <v>20310</v>
      </c>
      <c r="F112" s="8">
        <f t="shared" si="23"/>
        <v>0</v>
      </c>
      <c r="G112" s="7"/>
    </row>
    <row r="113" spans="4:7">
      <c r="D113" s="11" t="s">
        <v>47</v>
      </c>
      <c r="E113" s="6">
        <f>SUM(E108:E112)</f>
        <v>143916</v>
      </c>
      <c r="F113" s="11" t="s">
        <v>14</v>
      </c>
      <c r="G113" s="8">
        <f>SUM(G108:G112)</f>
        <v>0</v>
      </c>
    </row>
  </sheetData>
  <mergeCells count="15">
    <mergeCell ref="O11:R12"/>
    <mergeCell ref="S11:S12"/>
    <mergeCell ref="C2:G2"/>
    <mergeCell ref="O7:R8"/>
    <mergeCell ref="S7:S8"/>
    <mergeCell ref="O9:R10"/>
    <mergeCell ref="S9:S10"/>
    <mergeCell ref="O13:R14"/>
    <mergeCell ref="S13:S14"/>
    <mergeCell ref="O15:R16"/>
    <mergeCell ref="S15:S16"/>
    <mergeCell ref="O18:O19"/>
    <mergeCell ref="P18:P19"/>
    <mergeCell ref="Q18:Q19"/>
    <mergeCell ref="R18:S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 1A Czp - zamówienie podstawowe</vt:lpstr>
      <vt:lpstr>1A Co - prawo opcji</vt:lpstr>
      <vt:lpstr>1B Czp - zamówienie podstawowe</vt:lpstr>
      <vt:lpstr>1B Co - prawo opcji</vt:lpstr>
      <vt:lpstr>1C Czp - zamówienie podstaw</vt:lpstr>
      <vt:lpstr>1C Co - prawo opcji</vt:lpstr>
      <vt:lpstr>1D Czp - zamówienie podstaw</vt:lpstr>
      <vt:lpstr>1D Co - prawo opcji</vt:lpstr>
      <vt:lpstr>1E Czp - zamówienie podstaw</vt:lpstr>
      <vt:lpstr>1E Co - prawo opcji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ummawr04</dc:creator>
  <cp:lastModifiedBy>Wroński Marcin</cp:lastModifiedBy>
  <cp:lastPrinted>2023-06-13T08:58:43Z</cp:lastPrinted>
  <dcterms:created xsi:type="dcterms:W3CDTF">2023-06-01T13:28:30Z</dcterms:created>
  <dcterms:modified xsi:type="dcterms:W3CDTF">2024-06-13T06:57:37Z</dcterms:modified>
</cp:coreProperties>
</file>