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customXml/itemProps3.xml" ContentType="application/vnd.openxmlformats-officedocument.customXmlProperties+xml"/>
  <Override PartName="/xl/charts/style8.xml" ContentType="application/vnd.ms-office.chartsty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xl/charts/style6.xml" ContentType="application/vnd.ms-office.chartsty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4.xml" ContentType="application/vnd.ms-office.chartstyle+xml"/>
  <Override PartName="/xl/charts/style5.xml" ContentType="application/vnd.ms-office.chartsty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harts/chart1.xml" ContentType="application/vnd.openxmlformats-officedocument.drawingml.chart+xml"/>
  <Override PartName="/xl/charts/style2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xl/charts/colors8.xml" ContentType="application/vnd.ms-office.chartcolor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olors6.xml" ContentType="application/vnd.ms-office.chartcolorstyle+xml"/>
  <Override PartName="/xl/charts/colors7.xml" ContentType="application/vnd.ms-office.chartcolorstyl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colors5.xml" ContentType="application/vnd.ms-office.chartcolorstyle+xml"/>
  <Override PartName="/xl/sharedStrings.xml" ContentType="application/vnd.openxmlformats-officedocument.spreadsheetml.sharedStrings+xml"/>
  <Override PartName="/xl/charts/colors2.xml" ContentType="application/vnd.ms-office.chartcolorstyle+xml"/>
  <Override PartName="/xl/charts/colors3.xml" ContentType="application/vnd.ms-office.chartcolorstyle+xml"/>
  <Override PartName="/xl/persons/person.xml" ContentType="application/vnd.ms-excel.person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customXml/itemProps2.xml" ContentType="application/vnd.openxmlformats-officedocument.customXmlProperties+xml"/>
  <Override PartName="/xl/charts/chart5.xml" ContentType="application/vnd.openxmlformats-officedocument.drawingml.chart+xml"/>
  <Override PartName="/xl/charts/style7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codeName="Ten_skoroszyt"/>
  <bookViews>
    <workbookView xWindow="8340" yWindow="-18120" windowWidth="29040" windowHeight="16440" firstSheet="1" activeTab="6"/>
  </bookViews>
  <sheets>
    <sheet name="Hist" sheetId="36" state="hidden" r:id="rId1"/>
    <sheet name="SUM_GPC" sheetId="41" r:id="rId2"/>
    <sheet name="BAU" sheetId="40" state="hidden" r:id="rId3"/>
    <sheet name="Rap_GCP" sheetId="10" state="hidden" r:id="rId4"/>
    <sheet name="Rap_EM" sheetId="32" state="hidden" r:id="rId5"/>
    <sheet name="SUM_SEAP" sheetId="38" r:id="rId6"/>
    <sheet name="SUM_PGN" sheetId="15" r:id="rId7"/>
    <sheet name="pojazdy_przeliczenie" sheetId="46" state="hidden" r:id="rId8"/>
    <sheet name="wskaźnik OZE" sheetId="47" state="hidden" r:id="rId9"/>
    <sheet name="II. TRANS (obliczenie wskaźnika" sheetId="34" state="hidden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D_ED1">#REF!</definedName>
    <definedName name="D_GD1">#REF!</definedName>
    <definedName name="D_TR1">#REF!</definedName>
    <definedName name="D_TR2">#REF!</definedName>
    <definedName name="D_TR3">#REF!</definedName>
    <definedName name="D_TR4">#REF!</definedName>
    <definedName name="finansowanie">[1]finanse!$A$1:$A$16</definedName>
    <definedName name="GHG" localSheetId="9">#REF!</definedName>
    <definedName name="GHG" localSheetId="1">#REF!</definedName>
    <definedName name="GHG" localSheetId="8">[2]PAR_GWP!$B$4:$B$10</definedName>
    <definedName name="GHG">#REF!</definedName>
    <definedName name="GWP_CF4">#REF!</definedName>
    <definedName name="GWP_CH4" localSheetId="1">[3]PAR_GWP!$C$5</definedName>
    <definedName name="GWP_CH4" localSheetId="8">[2]PAR_GWP!$C$5</definedName>
    <definedName name="GWP_CH4">#REF!</definedName>
    <definedName name="GWP_HFC" localSheetId="1">[3]PAR_GWP!$C$10</definedName>
    <definedName name="GWP_HFC" localSheetId="8">[2]PAR_GWP!$C$10</definedName>
    <definedName name="GWP_HFC">#REF!</definedName>
    <definedName name="GWP_N2O" localSheetId="1">[3]PAR_GWP!$C$6</definedName>
    <definedName name="GWP_N2O" localSheetId="8">[2]PAR_GWP!$C$6</definedName>
    <definedName name="GWP_N2O">#REF!</definedName>
    <definedName name="GWP_NF3" localSheetId="1">[3]PAR_GWP!$C$8</definedName>
    <definedName name="GWP_NF3" localSheetId="8">[2]PAR_GWP!$C$8</definedName>
    <definedName name="GWP_NF3">#REF!</definedName>
    <definedName name="GWP_PFC" localSheetId="1">[3]PAR_GWP!$C$9</definedName>
    <definedName name="GWP_PFC" localSheetId="8">[2]PAR_GWP!$C$9</definedName>
    <definedName name="GWP_PFC">#REF!</definedName>
    <definedName name="GWP_SF6" localSheetId="1">[3]PAR_GWP!$C$7</definedName>
    <definedName name="GWP_SF6" localSheetId="8">[2]PAR_GWP!$C$7</definedName>
    <definedName name="GWP_SF6">#REF!</definedName>
    <definedName name="Instrument">#REF!</definedName>
    <definedName name="Obszar">#REF!</definedName>
    <definedName name="paliwa" localSheetId="1">[3]PAR_PALIWA!$B$4:$B$20</definedName>
    <definedName name="paliwa" localSheetId="8">[2]PAR_PALIWA!$B$5:$B$23</definedName>
    <definedName name="paliwa">#REF!</definedName>
    <definedName name="rok_inw" localSheetId="8">[2]SUM_SEAP!$E$3</definedName>
    <definedName name="rok_inw">SUM_SEAP!$E$3</definedName>
    <definedName name="stan">#REF!</definedName>
    <definedName name="V1_CH4_2013" localSheetId="8">'[3]V. AFOLU'!#REF!</definedName>
    <definedName name="V1_CH4_2013">'[3]V. AFOLU'!#REF!</definedName>
    <definedName name="V1_CO2e_1990">'[3]V. AFOLU'!$M$13</definedName>
    <definedName name="V1_CO2e_2013" localSheetId="8">'[3]V. AFOLU'!#REF!</definedName>
    <definedName name="V1_CO2e_2013">'[3]V. AFOLU'!#REF!</definedName>
    <definedName name="V1_N2O_2013" localSheetId="8">'[3]V. AFOLU'!#REF!</definedName>
    <definedName name="V1_N2O_2013">'[3]V. AFOLU'!#REF!</definedName>
    <definedName name="vehiclefleeteco2">'[4]Govt-Vehicle Fleet'!$AH$70</definedName>
    <definedName name="WE_BaP_N_węgiel_kam.">[5]Wskaźniki!$Z$12</definedName>
    <definedName name="WE_CO_N_węgiel_kam.">[5]Wskaźniki!$W$12</definedName>
    <definedName name="WE_NO2_N_węgiel_kam.">[5]Wskaźniki!$T$12</definedName>
    <definedName name="WE_PM10_N_węgiel_kam.">[5]Wskaźniki!$K$12</definedName>
    <definedName name="WE_PM2.5_N_węgiel_kam.">[5]Wskaźniki!$N$12</definedName>
    <definedName name="WE_SO2_N_węgiel_kam.">[5]Wskaźniki!$Q$12</definedName>
    <definedName name="WO_węgiel_kam.">[5]Wskaźniki!$D$12</definedName>
    <definedName name="Zrodlo">#REF!</definedName>
  </definedNames>
  <calcPr calcId="1257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7" i="47"/>
  <c r="B16"/>
  <c r="D16" s="1"/>
  <c r="D17"/>
  <c r="G11"/>
  <c r="G7"/>
  <c r="G6"/>
  <c r="G4" l="1"/>
  <c r="S50" i="46" l="1"/>
  <c r="R50"/>
  <c r="Q50"/>
  <c r="P50"/>
  <c r="S49"/>
  <c r="R49"/>
  <c r="Q49"/>
  <c r="P49"/>
  <c r="S48"/>
  <c r="R48"/>
  <c r="Q48"/>
  <c r="P48"/>
  <c r="S47"/>
  <c r="R47"/>
  <c r="Q47"/>
  <c r="P47"/>
  <c r="S46"/>
  <c r="R46"/>
  <c r="Q46"/>
  <c r="P46"/>
  <c r="S45"/>
  <c r="R45"/>
  <c r="Q45"/>
  <c r="P45"/>
  <c r="S42"/>
  <c r="R42"/>
  <c r="Q42"/>
  <c r="P42"/>
  <c r="S41"/>
  <c r="R41"/>
  <c r="Q41"/>
  <c r="P41"/>
  <c r="S40"/>
  <c r="R40"/>
  <c r="Q40"/>
  <c r="P40"/>
  <c r="S39"/>
  <c r="R39"/>
  <c r="Q39"/>
  <c r="P39"/>
  <c r="S38"/>
  <c r="R38"/>
  <c r="Q38"/>
  <c r="P38"/>
  <c r="S37"/>
  <c r="R37"/>
  <c r="Q37"/>
  <c r="P37"/>
  <c r="S34"/>
  <c r="R34"/>
  <c r="Q34"/>
  <c r="P34"/>
  <c r="S33"/>
  <c r="R33"/>
  <c r="Q33"/>
  <c r="P33"/>
  <c r="S32"/>
  <c r="R32"/>
  <c r="Q32"/>
  <c r="P32"/>
  <c r="S31"/>
  <c r="R31"/>
  <c r="Q31"/>
  <c r="P31"/>
  <c r="S30"/>
  <c r="R30"/>
  <c r="Q30"/>
  <c r="P30"/>
  <c r="S29"/>
  <c r="R29"/>
  <c r="Q29"/>
  <c r="P29"/>
  <c r="S26"/>
  <c r="R26"/>
  <c r="Q26"/>
  <c r="P26"/>
  <c r="S25"/>
  <c r="R25"/>
  <c r="Q25"/>
  <c r="P25"/>
  <c r="S24"/>
  <c r="R24"/>
  <c r="Q24"/>
  <c r="P24"/>
  <c r="S23"/>
  <c r="R23"/>
  <c r="Q23"/>
  <c r="P23"/>
  <c r="S22"/>
  <c r="R22"/>
  <c r="Q22"/>
  <c r="P22"/>
  <c r="S21"/>
  <c r="R21"/>
  <c r="Q21"/>
  <c r="P21"/>
  <c r="S18"/>
  <c r="R18"/>
  <c r="Q18"/>
  <c r="P18"/>
  <c r="S17"/>
  <c r="R17"/>
  <c r="Q17"/>
  <c r="P17"/>
  <c r="S16"/>
  <c r="R16"/>
  <c r="Q16"/>
  <c r="P16"/>
  <c r="S15"/>
  <c r="R15"/>
  <c r="Q15"/>
  <c r="P15"/>
  <c r="S14"/>
  <c r="R14"/>
  <c r="Q14"/>
  <c r="P14"/>
  <c r="S13"/>
  <c r="R13"/>
  <c r="Q13"/>
  <c r="P13"/>
  <c r="P6"/>
  <c r="Q6"/>
  <c r="R6"/>
  <c r="S6"/>
  <c r="P7"/>
  <c r="Q7"/>
  <c r="R7"/>
  <c r="S7"/>
  <c r="P8"/>
  <c r="Q8"/>
  <c r="R8"/>
  <c r="S8"/>
  <c r="P9"/>
  <c r="Q9"/>
  <c r="R9"/>
  <c r="S9"/>
  <c r="P10"/>
  <c r="Q10"/>
  <c r="R10"/>
  <c r="S10"/>
  <c r="Q5"/>
  <c r="R5"/>
  <c r="S5"/>
  <c r="P5"/>
  <c r="T58"/>
  <c r="T57"/>
  <c r="T56"/>
  <c r="T55"/>
  <c r="T54"/>
  <c r="T53"/>
  <c r="D67"/>
  <c r="E67" s="1"/>
  <c r="E66"/>
  <c r="E65"/>
  <c r="D64"/>
  <c r="E64" s="1"/>
  <c r="E63"/>
  <c r="E62"/>
  <c r="G58"/>
  <c r="G57"/>
  <c r="G56"/>
  <c r="G55"/>
  <c r="G54"/>
  <c r="G53"/>
  <c r="G50"/>
  <c r="G49"/>
  <c r="G48"/>
  <c r="G47"/>
  <c r="G46"/>
  <c r="G45"/>
  <c r="G42"/>
  <c r="G41"/>
  <c r="G40"/>
  <c r="G39"/>
  <c r="G38"/>
  <c r="G37"/>
  <c r="G34"/>
  <c r="G33"/>
  <c r="G32"/>
  <c r="G31"/>
  <c r="G30"/>
  <c r="G29"/>
  <c r="G26"/>
  <c r="G25"/>
  <c r="G24"/>
  <c r="G23"/>
  <c r="G22"/>
  <c r="G21"/>
  <c r="G18"/>
  <c r="G17"/>
  <c r="G16"/>
  <c r="G15"/>
  <c r="G14"/>
  <c r="G13"/>
  <c r="G10"/>
  <c r="G9"/>
  <c r="G8"/>
  <c r="G7"/>
  <c r="G6"/>
  <c r="G5"/>
  <c r="T13" l="1"/>
  <c r="T33"/>
  <c r="T39"/>
  <c r="T23"/>
  <c r="T45"/>
  <c r="T5"/>
  <c r="T10"/>
  <c r="T9"/>
  <c r="T8"/>
  <c r="T7"/>
  <c r="T6"/>
  <c r="T14"/>
  <c r="T15"/>
  <c r="T16"/>
  <c r="T18"/>
  <c r="T21"/>
  <c r="T22"/>
  <c r="T24"/>
  <c r="T25"/>
  <c r="T26"/>
  <c r="T30"/>
  <c r="T31"/>
  <c r="T32"/>
  <c r="T34"/>
  <c r="T37"/>
  <c r="T38"/>
  <c r="T40"/>
  <c r="T41"/>
  <c r="T42"/>
  <c r="T46"/>
  <c r="T47"/>
  <c r="T48"/>
  <c r="T50"/>
  <c r="T17"/>
  <c r="T29"/>
  <c r="T49"/>
  <c r="C142" i="40" l="1"/>
  <c r="C76"/>
  <c r="M15"/>
  <c r="M16"/>
  <c r="M17"/>
  <c r="M39" s="1"/>
  <c r="M18"/>
  <c r="M40" s="1"/>
  <c r="M21"/>
  <c r="M24"/>
  <c r="M46" s="1"/>
  <c r="M25"/>
  <c r="M47" s="1"/>
  <c r="M26"/>
  <c r="M48" s="1"/>
  <c r="M29"/>
  <c r="X29"/>
  <c r="Y29" s="1"/>
  <c r="X28"/>
  <c r="Y28" s="1"/>
  <c r="X27"/>
  <c r="Y27" s="1"/>
  <c r="X26"/>
  <c r="Y26" s="1"/>
  <c r="X25"/>
  <c r="Y25" s="1"/>
  <c r="X24"/>
  <c r="Y24" s="1"/>
  <c r="X23"/>
  <c r="Y23" s="1"/>
  <c r="X21"/>
  <c r="Y21" s="1"/>
  <c r="X20"/>
  <c r="Y20" s="1"/>
  <c r="X19"/>
  <c r="Y19" s="1"/>
  <c r="X18"/>
  <c r="Y18" s="1"/>
  <c r="Y14"/>
  <c r="AA25" s="1"/>
  <c r="F30" s="1"/>
  <c r="R109"/>
  <c r="Q109"/>
  <c r="P109"/>
  <c r="O109"/>
  <c r="N109"/>
  <c r="M109"/>
  <c r="L109"/>
  <c r="K109"/>
  <c r="J109"/>
  <c r="I109"/>
  <c r="H109"/>
  <c r="G109"/>
  <c r="F109"/>
  <c r="E109"/>
  <c r="D109"/>
  <c r="C109"/>
  <c r="R108"/>
  <c r="Q108"/>
  <c r="P108"/>
  <c r="O108"/>
  <c r="N108"/>
  <c r="M108"/>
  <c r="L108"/>
  <c r="K108"/>
  <c r="J108"/>
  <c r="I108"/>
  <c r="H108"/>
  <c r="G108"/>
  <c r="F108"/>
  <c r="E108"/>
  <c r="D108"/>
  <c r="C108"/>
  <c r="M107"/>
  <c r="L107"/>
  <c r="J107"/>
  <c r="I107"/>
  <c r="H107"/>
  <c r="G107"/>
  <c r="F107"/>
  <c r="M106"/>
  <c r="L106"/>
  <c r="J106"/>
  <c r="I106"/>
  <c r="H106"/>
  <c r="G106"/>
  <c r="F106"/>
  <c r="M105"/>
  <c r="L105"/>
  <c r="J105"/>
  <c r="I105"/>
  <c r="H105"/>
  <c r="G105"/>
  <c r="F105"/>
  <c r="P91"/>
  <c r="O91"/>
  <c r="N91"/>
  <c r="M91"/>
  <c r="L91"/>
  <c r="K91"/>
  <c r="J91"/>
  <c r="I91"/>
  <c r="H91"/>
  <c r="G91"/>
  <c r="F91"/>
  <c r="E91"/>
  <c r="D91"/>
  <c r="C91"/>
  <c r="C83"/>
  <c r="E82"/>
  <c r="E81"/>
  <c r="E80"/>
  <c r="E79"/>
  <c r="C107"/>
  <c r="C106"/>
  <c r="K61" i="34"/>
  <c r="L61"/>
  <c r="L63"/>
  <c r="L64"/>
  <c r="K65"/>
  <c r="L65"/>
  <c r="N65"/>
  <c r="N86"/>
  <c r="N79"/>
  <c r="M69"/>
  <c r="N55"/>
  <c r="R6" i="32"/>
  <c r="R43" s="1"/>
  <c r="Q6"/>
  <c r="Q43" s="1"/>
  <c r="K6"/>
  <c r="K43" s="1"/>
  <c r="L6"/>
  <c r="L43" s="1"/>
  <c r="N6"/>
  <c r="N43" s="1"/>
  <c r="N135" i="34"/>
  <c r="N134"/>
  <c r="N133"/>
  <c r="N132"/>
  <c r="N131"/>
  <c r="N130"/>
  <c r="C126"/>
  <c r="D126" s="1"/>
  <c r="I122"/>
  <c r="I123" s="1"/>
  <c r="H122"/>
  <c r="H123" s="1"/>
  <c r="E120"/>
  <c r="N119"/>
  <c r="M119"/>
  <c r="L119"/>
  <c r="K119"/>
  <c r="J119"/>
  <c r="I119"/>
  <c r="H119"/>
  <c r="G119"/>
  <c r="N118"/>
  <c r="M118"/>
  <c r="L118"/>
  <c r="K118"/>
  <c r="J118"/>
  <c r="I118"/>
  <c r="H118"/>
  <c r="G118"/>
  <c r="N117"/>
  <c r="M117"/>
  <c r="L117"/>
  <c r="K117"/>
  <c r="J117"/>
  <c r="I117"/>
  <c r="H117"/>
  <c r="G117"/>
  <c r="N116"/>
  <c r="M116"/>
  <c r="L116"/>
  <c r="K116"/>
  <c r="J116"/>
  <c r="I116"/>
  <c r="H116"/>
  <c r="G116"/>
  <c r="N115"/>
  <c r="M115"/>
  <c r="L115"/>
  <c r="K115"/>
  <c r="J115"/>
  <c r="I115"/>
  <c r="H115"/>
  <c r="G115"/>
  <c r="N114"/>
  <c r="M114"/>
  <c r="L114"/>
  <c r="K114"/>
  <c r="J114"/>
  <c r="I114"/>
  <c r="H114"/>
  <c r="G114"/>
  <c r="N113"/>
  <c r="M113"/>
  <c r="L113"/>
  <c r="K113"/>
  <c r="J113"/>
  <c r="I113"/>
  <c r="H113"/>
  <c r="G113"/>
  <c r="N112"/>
  <c r="M112"/>
  <c r="L112"/>
  <c r="K112"/>
  <c r="J112"/>
  <c r="I112"/>
  <c r="H112"/>
  <c r="G112"/>
  <c r="N111"/>
  <c r="N120" s="1"/>
  <c r="M111"/>
  <c r="L111"/>
  <c r="K111"/>
  <c r="K120" s="1"/>
  <c r="J111"/>
  <c r="I111"/>
  <c r="H111"/>
  <c r="G111"/>
  <c r="G120" s="1"/>
  <c r="F109"/>
  <c r="E109"/>
  <c r="N97"/>
  <c r="M97"/>
  <c r="L97"/>
  <c r="K97"/>
  <c r="G97"/>
  <c r="N96"/>
  <c r="M96"/>
  <c r="L96"/>
  <c r="K96"/>
  <c r="G96"/>
  <c r="N95"/>
  <c r="M95"/>
  <c r="L95"/>
  <c r="K95"/>
  <c r="G95"/>
  <c r="N94"/>
  <c r="M94"/>
  <c r="L94"/>
  <c r="K94"/>
  <c r="G94"/>
  <c r="N93"/>
  <c r="M93"/>
  <c r="L93"/>
  <c r="K93"/>
  <c r="G93"/>
  <c r="G92"/>
  <c r="N89"/>
  <c r="M89"/>
  <c r="L89"/>
  <c r="K89"/>
  <c r="G89"/>
  <c r="N88"/>
  <c r="M88"/>
  <c r="L88"/>
  <c r="K88"/>
  <c r="G88"/>
  <c r="N87"/>
  <c r="M87"/>
  <c r="L87"/>
  <c r="K87"/>
  <c r="G87"/>
  <c r="M86"/>
  <c r="L86"/>
  <c r="K86"/>
  <c r="G86"/>
  <c r="N85"/>
  <c r="M85"/>
  <c r="L85"/>
  <c r="K85"/>
  <c r="G85"/>
  <c r="G84"/>
  <c r="M81"/>
  <c r="L81"/>
  <c r="K81"/>
  <c r="G81"/>
  <c r="N80"/>
  <c r="M80"/>
  <c r="L80"/>
  <c r="K80"/>
  <c r="G80"/>
  <c r="M79"/>
  <c r="L79"/>
  <c r="K79"/>
  <c r="G79"/>
  <c r="N78"/>
  <c r="M78"/>
  <c r="L78"/>
  <c r="K78"/>
  <c r="G78"/>
  <c r="N77"/>
  <c r="M77"/>
  <c r="L77"/>
  <c r="K77"/>
  <c r="G77"/>
  <c r="G76"/>
  <c r="N73"/>
  <c r="M73"/>
  <c r="L73"/>
  <c r="K73"/>
  <c r="G73"/>
  <c r="N72"/>
  <c r="M72"/>
  <c r="L72"/>
  <c r="K72"/>
  <c r="G72"/>
  <c r="N71"/>
  <c r="M71"/>
  <c r="L71"/>
  <c r="K71"/>
  <c r="G71"/>
  <c r="N70"/>
  <c r="M70"/>
  <c r="L70"/>
  <c r="K70"/>
  <c r="G70"/>
  <c r="N69"/>
  <c r="L69"/>
  <c r="K69"/>
  <c r="G69"/>
  <c r="G68"/>
  <c r="M65"/>
  <c r="G65"/>
  <c r="N64"/>
  <c r="M64"/>
  <c r="G64"/>
  <c r="N63"/>
  <c r="M63"/>
  <c r="G63"/>
  <c r="N62"/>
  <c r="M62"/>
  <c r="L62"/>
  <c r="K62"/>
  <c r="G62"/>
  <c r="N61"/>
  <c r="M61"/>
  <c r="G61"/>
  <c r="G60"/>
  <c r="N57"/>
  <c r="M57"/>
  <c r="L57"/>
  <c r="K57"/>
  <c r="G57"/>
  <c r="N56"/>
  <c r="M56"/>
  <c r="L56"/>
  <c r="K56"/>
  <c r="G56"/>
  <c r="M55"/>
  <c r="L55"/>
  <c r="K55"/>
  <c r="G55"/>
  <c r="N54"/>
  <c r="M54"/>
  <c r="L54"/>
  <c r="K54"/>
  <c r="G54"/>
  <c r="N53"/>
  <c r="M53"/>
  <c r="L53"/>
  <c r="K53"/>
  <c r="G53"/>
  <c r="G52"/>
  <c r="N49"/>
  <c r="M49"/>
  <c r="L49"/>
  <c r="K49"/>
  <c r="G49"/>
  <c r="N48"/>
  <c r="M48"/>
  <c r="L48"/>
  <c r="K48"/>
  <c r="G48"/>
  <c r="N47"/>
  <c r="M47"/>
  <c r="L47"/>
  <c r="K47"/>
  <c r="G47"/>
  <c r="N46"/>
  <c r="M46"/>
  <c r="L46"/>
  <c r="K46"/>
  <c r="G46"/>
  <c r="N45"/>
  <c r="M45"/>
  <c r="L45"/>
  <c r="K45"/>
  <c r="G45"/>
  <c r="G44"/>
  <c r="N39"/>
  <c r="M39"/>
  <c r="L39"/>
  <c r="J39"/>
  <c r="I39"/>
  <c r="H39"/>
  <c r="G39"/>
  <c r="N38"/>
  <c r="M38"/>
  <c r="L38"/>
  <c r="J38"/>
  <c r="I38"/>
  <c r="H38"/>
  <c r="G38"/>
  <c r="N36"/>
  <c r="M36"/>
  <c r="L36"/>
  <c r="J36"/>
  <c r="I36"/>
  <c r="H36"/>
  <c r="G36"/>
  <c r="N35"/>
  <c r="M35"/>
  <c r="L35"/>
  <c r="J35"/>
  <c r="I35"/>
  <c r="H35"/>
  <c r="G35"/>
  <c r="N33"/>
  <c r="M33"/>
  <c r="L33"/>
  <c r="J33"/>
  <c r="I33"/>
  <c r="H33"/>
  <c r="G33"/>
  <c r="N30"/>
  <c r="M30"/>
  <c r="L30"/>
  <c r="J30"/>
  <c r="I30"/>
  <c r="H30"/>
  <c r="G30"/>
  <c r="N29"/>
  <c r="M29"/>
  <c r="L29"/>
  <c r="J29"/>
  <c r="I29"/>
  <c r="H29"/>
  <c r="G29"/>
  <c r="N28"/>
  <c r="M28"/>
  <c r="L28"/>
  <c r="J28"/>
  <c r="I28"/>
  <c r="H28"/>
  <c r="G28"/>
  <c r="N27"/>
  <c r="M27"/>
  <c r="L27"/>
  <c r="J27"/>
  <c r="I27"/>
  <c r="H27"/>
  <c r="G27"/>
  <c r="N26"/>
  <c r="M26"/>
  <c r="L26"/>
  <c r="J26"/>
  <c r="I26"/>
  <c r="H26"/>
  <c r="G26"/>
  <c r="N25"/>
  <c r="M25"/>
  <c r="L25"/>
  <c r="J25"/>
  <c r="I25"/>
  <c r="H25"/>
  <c r="G25"/>
  <c r="N24"/>
  <c r="M24"/>
  <c r="L24"/>
  <c r="J24"/>
  <c r="I24"/>
  <c r="H24"/>
  <c r="G24"/>
  <c r="N22"/>
  <c r="M22"/>
  <c r="L22"/>
  <c r="J22"/>
  <c r="I22"/>
  <c r="H22"/>
  <c r="G22"/>
  <c r="N21"/>
  <c r="M21"/>
  <c r="L21"/>
  <c r="J21"/>
  <c r="I21"/>
  <c r="H21"/>
  <c r="G21"/>
  <c r="N20"/>
  <c r="M20"/>
  <c r="L20"/>
  <c r="J20"/>
  <c r="I20"/>
  <c r="H20"/>
  <c r="G20"/>
  <c r="N19"/>
  <c r="M19"/>
  <c r="L19"/>
  <c r="J19"/>
  <c r="I19"/>
  <c r="H19"/>
  <c r="G19"/>
  <c r="N18"/>
  <c r="M18"/>
  <c r="L18"/>
  <c r="J18"/>
  <c r="I18"/>
  <c r="H18"/>
  <c r="G18"/>
  <c r="N17"/>
  <c r="M17"/>
  <c r="L17"/>
  <c r="J17"/>
  <c r="I17"/>
  <c r="H17"/>
  <c r="G17"/>
  <c r="N16"/>
  <c r="M16"/>
  <c r="L16"/>
  <c r="J16"/>
  <c r="I16"/>
  <c r="H16"/>
  <c r="G16"/>
  <c r="N14"/>
  <c r="M14"/>
  <c r="L14"/>
  <c r="J14"/>
  <c r="I14"/>
  <c r="H14"/>
  <c r="G14"/>
  <c r="N13"/>
  <c r="M13"/>
  <c r="L13"/>
  <c r="J13"/>
  <c r="I13"/>
  <c r="H13"/>
  <c r="G13"/>
  <c r="N12"/>
  <c r="M12"/>
  <c r="L12"/>
  <c r="J12"/>
  <c r="I12"/>
  <c r="H12"/>
  <c r="G12"/>
  <c r="N11"/>
  <c r="M11"/>
  <c r="L11"/>
  <c r="J11"/>
  <c r="I11"/>
  <c r="H11"/>
  <c r="G11"/>
  <c r="N10"/>
  <c r="M10"/>
  <c r="L10"/>
  <c r="J10"/>
  <c r="I10"/>
  <c r="H10"/>
  <c r="G10"/>
  <c r="N9"/>
  <c r="M9"/>
  <c r="L9"/>
  <c r="J9"/>
  <c r="I9"/>
  <c r="H9"/>
  <c r="G9"/>
  <c r="N8"/>
  <c r="M8"/>
  <c r="L8"/>
  <c r="J8"/>
  <c r="I8"/>
  <c r="H8"/>
  <c r="G8"/>
  <c r="N92"/>
  <c r="M92"/>
  <c r="L92"/>
  <c r="N84"/>
  <c r="M84"/>
  <c r="L84"/>
  <c r="K84"/>
  <c r="L76"/>
  <c r="K76"/>
  <c r="L68"/>
  <c r="K68"/>
  <c r="N60"/>
  <c r="K60"/>
  <c r="M52"/>
  <c r="L52"/>
  <c r="K52"/>
  <c r="N44"/>
  <c r="M44"/>
  <c r="L44"/>
  <c r="K92"/>
  <c r="K44"/>
  <c r="Z43" i="32"/>
  <c r="Y43"/>
  <c r="P43"/>
  <c r="V43"/>
  <c r="X43"/>
  <c r="AC43"/>
  <c r="AB43"/>
  <c r="U43"/>
  <c r="AE43"/>
  <c r="T43"/>
  <c r="O78" i="34" l="1"/>
  <c r="O87"/>
  <c r="O85"/>
  <c r="O94"/>
  <c r="O45"/>
  <c r="O46"/>
  <c r="O47"/>
  <c r="O49"/>
  <c r="O53"/>
  <c r="O54"/>
  <c r="O48"/>
  <c r="L120"/>
  <c r="O55"/>
  <c r="O73"/>
  <c r="M120"/>
  <c r="O86"/>
  <c r="O61"/>
  <c r="M60"/>
  <c r="M68"/>
  <c r="M76"/>
  <c r="O62"/>
  <c r="N81"/>
  <c r="O81" s="1"/>
  <c r="O88"/>
  <c r="O89"/>
  <c r="O93"/>
  <c r="O95"/>
  <c r="O96"/>
  <c r="O97"/>
  <c r="H120"/>
  <c r="J120"/>
  <c r="N52"/>
  <c r="O56"/>
  <c r="O57"/>
  <c r="O70"/>
  <c r="O71"/>
  <c r="O72"/>
  <c r="O77"/>
  <c r="O80"/>
  <c r="N68"/>
  <c r="N76"/>
  <c r="O76" s="1"/>
  <c r="K63"/>
  <c r="O63" s="1"/>
  <c r="K64"/>
  <c r="O64" s="1"/>
  <c r="L60"/>
  <c r="O92"/>
  <c r="F30" s="1"/>
  <c r="K30" s="1"/>
  <c r="P30" s="1"/>
  <c r="O84"/>
  <c r="F28" s="1"/>
  <c r="K28" s="1"/>
  <c r="P28" s="1"/>
  <c r="I120"/>
  <c r="AA18" i="40"/>
  <c r="S21" s="1"/>
  <c r="K22" i="34"/>
  <c r="P22" s="1"/>
  <c r="K16"/>
  <c r="P16" s="1"/>
  <c r="K18"/>
  <c r="P18" s="1"/>
  <c r="K33"/>
  <c r="O33" s="1"/>
  <c r="K39"/>
  <c r="Q39" s="1"/>
  <c r="O44"/>
  <c r="O52"/>
  <c r="O60"/>
  <c r="O68"/>
  <c r="H129"/>
  <c r="H130" s="1"/>
  <c r="K130" s="1"/>
  <c r="C105" i="40"/>
  <c r="K122" i="34"/>
  <c r="L122" s="1"/>
  <c r="M122" s="1"/>
  <c r="E83" i="40"/>
  <c r="K8" i="34"/>
  <c r="P8" s="1"/>
  <c r="K12"/>
  <c r="O12" s="1"/>
  <c r="K14"/>
  <c r="O14" s="1"/>
  <c r="K17"/>
  <c r="Q17" s="1"/>
  <c r="K19"/>
  <c r="P19" s="1"/>
  <c r="K21"/>
  <c r="Q21" s="1"/>
  <c r="K38"/>
  <c r="O38" s="1"/>
  <c r="K10"/>
  <c r="P10" s="1"/>
  <c r="K9"/>
  <c r="O9" s="1"/>
  <c r="O69"/>
  <c r="O79"/>
  <c r="O65"/>
  <c r="K11"/>
  <c r="O11" s="1"/>
  <c r="K13"/>
  <c r="O13" s="1"/>
  <c r="K20"/>
  <c r="P20" s="1"/>
  <c r="AA21" i="40"/>
  <c r="S29" s="1"/>
  <c r="S30" s="1"/>
  <c r="AA27"/>
  <c r="D30" s="1"/>
  <c r="D29" s="1"/>
  <c r="AA24"/>
  <c r="J30" s="1"/>
  <c r="AA20"/>
  <c r="S16" s="1"/>
  <c r="AA29"/>
  <c r="AA26"/>
  <c r="N30" s="1"/>
  <c r="AA23"/>
  <c r="K30" s="1"/>
  <c r="H133" i="34"/>
  <c r="K133" s="1"/>
  <c r="H135"/>
  <c r="K135" s="1"/>
  <c r="H134"/>
  <c r="K134" s="1"/>
  <c r="H132"/>
  <c r="K132" s="1"/>
  <c r="H131"/>
  <c r="K131" s="1"/>
  <c r="M49" i="40"/>
  <c r="F21"/>
  <c r="F16"/>
  <c r="F17"/>
  <c r="F29"/>
  <c r="F26"/>
  <c r="F15"/>
  <c r="F25"/>
  <c r="F24"/>
  <c r="F18"/>
  <c r="E126" i="34"/>
  <c r="G126" s="1"/>
  <c r="F35" s="1"/>
  <c r="K35" s="1"/>
  <c r="AA19" i="40"/>
  <c r="AA28"/>
  <c r="E30" s="1"/>
  <c r="D16" l="1"/>
  <c r="D17"/>
  <c r="D15"/>
  <c r="D37" s="1"/>
  <c r="D25"/>
  <c r="D26"/>
  <c r="D21"/>
  <c r="F26" i="34"/>
  <c r="K26" s="1"/>
  <c r="Q26" s="1"/>
  <c r="F24"/>
  <c r="K24" s="1"/>
  <c r="O24" s="1"/>
  <c r="F25"/>
  <c r="K25" s="1"/>
  <c r="Q25" s="1"/>
  <c r="D18" i="40"/>
  <c r="C114"/>
  <c r="S139" s="1"/>
  <c r="I30"/>
  <c r="I21" s="1"/>
  <c r="I43" s="1"/>
  <c r="O30"/>
  <c r="O25" s="1"/>
  <c r="F126" i="34"/>
  <c r="H126" s="1"/>
  <c r="F36" s="1"/>
  <c r="K36" s="1"/>
  <c r="P36" s="1"/>
  <c r="Q30" i="40"/>
  <c r="Q29" s="1"/>
  <c r="Q51" s="1"/>
  <c r="F29" i="34"/>
  <c r="K29" s="1"/>
  <c r="O29" s="1"/>
  <c r="D24" i="40"/>
  <c r="F27" i="34"/>
  <c r="K27" s="1"/>
  <c r="P27" s="1"/>
  <c r="Q28"/>
  <c r="F40" i="40"/>
  <c r="Q33" i="34"/>
  <c r="P33"/>
  <c r="Q10"/>
  <c r="L30" i="40"/>
  <c r="L24" s="1"/>
  <c r="L46" s="1"/>
  <c r="S17"/>
  <c r="P21" i="34"/>
  <c r="Q12"/>
  <c r="O21"/>
  <c r="O19"/>
  <c r="Q18"/>
  <c r="O18"/>
  <c r="O10"/>
  <c r="O28"/>
  <c r="Q16"/>
  <c r="O16"/>
  <c r="Q8"/>
  <c r="O22"/>
  <c r="P9"/>
  <c r="Q22"/>
  <c r="O30"/>
  <c r="P38"/>
  <c r="O8"/>
  <c r="P39"/>
  <c r="O39"/>
  <c r="Q19"/>
  <c r="O17"/>
  <c r="P12"/>
  <c r="P17"/>
  <c r="P14"/>
  <c r="Q38"/>
  <c r="Q30"/>
  <c r="O20"/>
  <c r="Q14"/>
  <c r="Q11"/>
  <c r="Q9"/>
  <c r="Q13"/>
  <c r="P11"/>
  <c r="Q20"/>
  <c r="P13"/>
  <c r="P30" i="40"/>
  <c r="R30"/>
  <c r="H30"/>
  <c r="G30"/>
  <c r="E24"/>
  <c r="E46" s="1"/>
  <c r="E15"/>
  <c r="E25"/>
  <c r="E47" s="1"/>
  <c r="E18"/>
  <c r="E40" s="1"/>
  <c r="E26"/>
  <c r="E48" s="1"/>
  <c r="E21"/>
  <c r="E16"/>
  <c r="E17"/>
  <c r="E29"/>
  <c r="O16"/>
  <c r="O38" s="1"/>
  <c r="N17"/>
  <c r="N39" s="1"/>
  <c r="N26"/>
  <c r="N21"/>
  <c r="N43" s="1"/>
  <c r="N16"/>
  <c r="N38" s="1"/>
  <c r="N18"/>
  <c r="N40" s="1"/>
  <c r="N25"/>
  <c r="N15"/>
  <c r="N37" s="1"/>
  <c r="N24"/>
  <c r="N29"/>
  <c r="N51" s="1"/>
  <c r="P35" i="34"/>
  <c r="O35"/>
  <c r="Q35"/>
  <c r="S25" i="40"/>
  <c r="S26"/>
  <c r="J15"/>
  <c r="J37" s="1"/>
  <c r="J21"/>
  <c r="J43" s="1"/>
  <c r="J29"/>
  <c r="J51" s="1"/>
  <c r="J18"/>
  <c r="J40" s="1"/>
  <c r="J17"/>
  <c r="J39" s="1"/>
  <c r="J25"/>
  <c r="J26"/>
  <c r="J16"/>
  <c r="J38" s="1"/>
  <c r="J24"/>
  <c r="K17"/>
  <c r="K39" s="1"/>
  <c r="K25"/>
  <c r="K47" s="1"/>
  <c r="K16"/>
  <c r="K38" s="1"/>
  <c r="K24"/>
  <c r="K46" s="1"/>
  <c r="K15"/>
  <c r="K37" s="1"/>
  <c r="K21"/>
  <c r="K43" s="1"/>
  <c r="K29"/>
  <c r="K51" s="1"/>
  <c r="K18"/>
  <c r="K40" s="1"/>
  <c r="K26"/>
  <c r="K48" s="1"/>
  <c r="P26" i="34" l="1"/>
  <c r="Q16" i="40"/>
  <c r="Q38" s="1"/>
  <c r="L16"/>
  <c r="L38" s="1"/>
  <c r="O25" i="34"/>
  <c r="O17" i="40"/>
  <c r="O39" s="1"/>
  <c r="O18"/>
  <c r="O40" s="1"/>
  <c r="O29"/>
  <c r="O51" s="1"/>
  <c r="O24"/>
  <c r="O46" s="1"/>
  <c r="Q15"/>
  <c r="Q37" s="1"/>
  <c r="I17"/>
  <c r="I39" s="1"/>
  <c r="I29"/>
  <c r="I51" s="1"/>
  <c r="Q26"/>
  <c r="Q48" s="1"/>
  <c r="I15"/>
  <c r="I37" s="1"/>
  <c r="O26" i="34"/>
  <c r="O36"/>
  <c r="R22"/>
  <c r="P24"/>
  <c r="I26" i="40"/>
  <c r="I18"/>
  <c r="I40" s="1"/>
  <c r="I25"/>
  <c r="I47" s="1"/>
  <c r="I16"/>
  <c r="I38" s="1"/>
  <c r="L17"/>
  <c r="L25"/>
  <c r="L47" s="1"/>
  <c r="L26"/>
  <c r="L48" s="1"/>
  <c r="L18"/>
  <c r="L40" s="1"/>
  <c r="P25" i="34"/>
  <c r="L29" i="40"/>
  <c r="L51" s="1"/>
  <c r="L21"/>
  <c r="L43" s="1"/>
  <c r="L15"/>
  <c r="L37" s="1"/>
  <c r="O21"/>
  <c r="O43" s="1"/>
  <c r="O26"/>
  <c r="O15"/>
  <c r="O37" s="1"/>
  <c r="I24"/>
  <c r="I46" s="1"/>
  <c r="E39"/>
  <c r="Q24" i="34"/>
  <c r="C113" i="40"/>
  <c r="S138" s="1"/>
  <c r="Q29" i="34"/>
  <c r="P29"/>
  <c r="O27"/>
  <c r="Q36"/>
  <c r="Q25" i="40"/>
  <c r="Q47" s="1"/>
  <c r="Q17"/>
  <c r="Q39" s="1"/>
  <c r="Q18"/>
  <c r="Q40" s="1"/>
  <c r="Q21"/>
  <c r="Q43" s="1"/>
  <c r="Q24"/>
  <c r="Q46" s="1"/>
  <c r="Q27" i="34"/>
  <c r="R28"/>
  <c r="R8"/>
  <c r="M51" i="40"/>
  <c r="M38"/>
  <c r="J6" i="32"/>
  <c r="J43" s="1"/>
  <c r="G6"/>
  <c r="G43" s="1"/>
  <c r="R33" i="34"/>
  <c r="I6" i="32"/>
  <c r="I43" s="1"/>
  <c r="O47" i="40"/>
  <c r="N47"/>
  <c r="R18" i="34"/>
  <c r="F37" i="40"/>
  <c r="N46"/>
  <c r="E37"/>
  <c r="R10" i="34"/>
  <c r="M43" i="40"/>
  <c r="J47"/>
  <c r="M6" i="32"/>
  <c r="M43" s="1"/>
  <c r="R38" i="34"/>
  <c r="D51" i="40"/>
  <c r="R19" i="34"/>
  <c r="M37" i="40"/>
  <c r="R21" i="34"/>
  <c r="R16"/>
  <c r="R12"/>
  <c r="F46" i="40"/>
  <c r="R30" i="34"/>
  <c r="S60" i="40"/>
  <c r="R9" i="34"/>
  <c r="F51" i="40"/>
  <c r="D47"/>
  <c r="D46"/>
  <c r="F39"/>
  <c r="R13" i="34"/>
  <c r="S63" i="40"/>
  <c r="F43"/>
  <c r="J46"/>
  <c r="R20" i="34"/>
  <c r="E51" i="40"/>
  <c r="R39" i="34"/>
  <c r="D40" i="40"/>
  <c r="E38"/>
  <c r="R17" i="34"/>
  <c r="E43" i="40"/>
  <c r="S70"/>
  <c r="S69"/>
  <c r="F38"/>
  <c r="S74"/>
  <c r="F47"/>
  <c r="R14" i="34"/>
  <c r="R11"/>
  <c r="O6" i="32"/>
  <c r="O43" s="1"/>
  <c r="P21" i="40"/>
  <c r="P43" s="1"/>
  <c r="P17"/>
  <c r="P15"/>
  <c r="P37" s="1"/>
  <c r="P26"/>
  <c r="P48" s="1"/>
  <c r="P24"/>
  <c r="P46" s="1"/>
  <c r="P18"/>
  <c r="P40" s="1"/>
  <c r="P16"/>
  <c r="P38" s="1"/>
  <c r="P29"/>
  <c r="P51" s="1"/>
  <c r="P25"/>
  <c r="P47" s="1"/>
  <c r="R25"/>
  <c r="R47" s="1"/>
  <c r="R26"/>
  <c r="R48" s="1"/>
  <c r="R18"/>
  <c r="R40" s="1"/>
  <c r="R29"/>
  <c r="R51" s="1"/>
  <c r="R15"/>
  <c r="R37" s="1"/>
  <c r="R17"/>
  <c r="R39" s="1"/>
  <c r="R21"/>
  <c r="R43" s="1"/>
  <c r="R24"/>
  <c r="R46" s="1"/>
  <c r="R16"/>
  <c r="R38" s="1"/>
  <c r="H26"/>
  <c r="H48" s="1"/>
  <c r="H17"/>
  <c r="H29"/>
  <c r="H51" s="1"/>
  <c r="H15"/>
  <c r="H37" s="1"/>
  <c r="H18"/>
  <c r="H40" s="1"/>
  <c r="H16"/>
  <c r="H38" s="1"/>
  <c r="H25"/>
  <c r="H47" s="1"/>
  <c r="H21"/>
  <c r="H43" s="1"/>
  <c r="H24"/>
  <c r="H46" s="1"/>
  <c r="G17"/>
  <c r="G26"/>
  <c r="G16"/>
  <c r="G38" s="1"/>
  <c r="G21"/>
  <c r="G43" s="1"/>
  <c r="G15"/>
  <c r="G37" s="1"/>
  <c r="G24"/>
  <c r="G46" s="1"/>
  <c r="G18"/>
  <c r="G40" s="1"/>
  <c r="G25"/>
  <c r="G47" s="1"/>
  <c r="G29"/>
  <c r="G51" s="1"/>
  <c r="K44"/>
  <c r="E49"/>
  <c r="N44"/>
  <c r="K49"/>
  <c r="J44"/>
  <c r="R35" i="34"/>
  <c r="R26" l="1"/>
  <c r="F48" i="40"/>
  <c r="Q49"/>
  <c r="O44"/>
  <c r="R25" i="34"/>
  <c r="R36"/>
  <c r="L49" i="40"/>
  <c r="I44"/>
  <c r="R24" i="34"/>
  <c r="R29"/>
  <c r="O48" i="40"/>
  <c r="O49" s="1"/>
  <c r="H39"/>
  <c r="H44" s="1"/>
  <c r="I48"/>
  <c r="I49" s="1"/>
  <c r="N48"/>
  <c r="N49" s="1"/>
  <c r="N52" s="1"/>
  <c r="R27" i="34"/>
  <c r="F6" i="32"/>
  <c r="F43" s="1"/>
  <c r="Q44" i="40"/>
  <c r="Q52" s="1"/>
  <c r="C115"/>
  <c r="S140" s="1"/>
  <c r="F49"/>
  <c r="M44"/>
  <c r="M52" s="1"/>
  <c r="E44"/>
  <c r="E52" s="1"/>
  <c r="F44"/>
  <c r="H6" i="32"/>
  <c r="H43" s="1"/>
  <c r="S46" i="40"/>
  <c r="L69" s="1"/>
  <c r="L131" s="1"/>
  <c r="S40"/>
  <c r="M63" s="1"/>
  <c r="M125" s="1"/>
  <c r="S47"/>
  <c r="Q70" s="1"/>
  <c r="Q132" s="1"/>
  <c r="S51"/>
  <c r="G74" s="1"/>
  <c r="G136" s="1"/>
  <c r="S37"/>
  <c r="I60" s="1"/>
  <c r="I122" s="1"/>
  <c r="P49"/>
  <c r="R49"/>
  <c r="K52"/>
  <c r="R44"/>
  <c r="H49"/>
  <c r="I52" l="1"/>
  <c r="J48"/>
  <c r="J49" s="1"/>
  <c r="J52" s="1"/>
  <c r="O52"/>
  <c r="G48"/>
  <c r="G49" s="1"/>
  <c r="G39"/>
  <c r="G44" s="1"/>
  <c r="L39"/>
  <c r="L44" s="1"/>
  <c r="L52" s="1"/>
  <c r="P39"/>
  <c r="P44" s="1"/>
  <c r="P52" s="1"/>
  <c r="F52"/>
  <c r="K70"/>
  <c r="K132" s="1"/>
  <c r="H70"/>
  <c r="H132" s="1"/>
  <c r="E74"/>
  <c r="M74"/>
  <c r="M136" s="1"/>
  <c r="Q69"/>
  <c r="Q131" s="1"/>
  <c r="N74"/>
  <c r="N136" s="1"/>
  <c r="H74"/>
  <c r="H136" s="1"/>
  <c r="K74"/>
  <c r="K136" s="1"/>
  <c r="H69"/>
  <c r="H131" s="1"/>
  <c r="L74"/>
  <c r="L136" s="1"/>
  <c r="F74"/>
  <c r="F136" s="1"/>
  <c r="D63"/>
  <c r="D125" s="1"/>
  <c r="J74"/>
  <c r="J136" s="1"/>
  <c r="D74"/>
  <c r="D136" s="1"/>
  <c r="R74"/>
  <c r="R136" s="1"/>
  <c r="N60"/>
  <c r="N122" s="1"/>
  <c r="Q74"/>
  <c r="Q136" s="1"/>
  <c r="P74"/>
  <c r="P136" s="1"/>
  <c r="P69"/>
  <c r="P131" s="1"/>
  <c r="I69"/>
  <c r="I131" s="1"/>
  <c r="G69"/>
  <c r="G131" s="1"/>
  <c r="H52"/>
  <c r="E63"/>
  <c r="M70"/>
  <c r="M132" s="1"/>
  <c r="H63"/>
  <c r="H125" s="1"/>
  <c r="G63"/>
  <c r="G125" s="1"/>
  <c r="J63"/>
  <c r="J125" s="1"/>
  <c r="L63"/>
  <c r="L125" s="1"/>
  <c r="I63"/>
  <c r="I125" s="1"/>
  <c r="R63"/>
  <c r="R125" s="1"/>
  <c r="P70"/>
  <c r="P132" s="1"/>
  <c r="L70"/>
  <c r="L132" s="1"/>
  <c r="E70"/>
  <c r="I70"/>
  <c r="I132" s="1"/>
  <c r="P63"/>
  <c r="P125" s="1"/>
  <c r="K63"/>
  <c r="K125" s="1"/>
  <c r="J70"/>
  <c r="J132" s="1"/>
  <c r="F70"/>
  <c r="F132" s="1"/>
  <c r="R70"/>
  <c r="R132" s="1"/>
  <c r="N63"/>
  <c r="N125" s="1"/>
  <c r="O70"/>
  <c r="O132" s="1"/>
  <c r="D70"/>
  <c r="D132" s="1"/>
  <c r="N70"/>
  <c r="N132" s="1"/>
  <c r="Q63"/>
  <c r="Q125" s="1"/>
  <c r="O63"/>
  <c r="O125" s="1"/>
  <c r="F63"/>
  <c r="F125" s="1"/>
  <c r="G70"/>
  <c r="G132" s="1"/>
  <c r="I74"/>
  <c r="I136" s="1"/>
  <c r="D39"/>
  <c r="K69"/>
  <c r="K131" s="1"/>
  <c r="F69"/>
  <c r="F131" s="1"/>
  <c r="M69"/>
  <c r="M131" s="1"/>
  <c r="E69"/>
  <c r="N69"/>
  <c r="N131" s="1"/>
  <c r="J69"/>
  <c r="J131" s="1"/>
  <c r="O69"/>
  <c r="O131" s="1"/>
  <c r="R69"/>
  <c r="R131" s="1"/>
  <c r="D69"/>
  <c r="D131" s="1"/>
  <c r="R52"/>
  <c r="O74"/>
  <c r="O136" s="1"/>
  <c r="M60"/>
  <c r="H60"/>
  <c r="R60"/>
  <c r="R122" s="1"/>
  <c r="G60"/>
  <c r="G122" s="1"/>
  <c r="D60"/>
  <c r="D122" s="1"/>
  <c r="Q60"/>
  <c r="F60"/>
  <c r="J60"/>
  <c r="J122" s="1"/>
  <c r="L60"/>
  <c r="K60"/>
  <c r="K122" s="1"/>
  <c r="P60"/>
  <c r="E60"/>
  <c r="O60"/>
  <c r="O122" s="1"/>
  <c r="S62" l="1"/>
  <c r="G52"/>
  <c r="S39"/>
  <c r="D43"/>
  <c r="S66"/>
  <c r="M122"/>
  <c r="H122"/>
  <c r="F122"/>
  <c r="Q122"/>
  <c r="P122"/>
  <c r="L122"/>
  <c r="D62" l="1"/>
  <c r="D124" s="1"/>
  <c r="S43"/>
  <c r="I62"/>
  <c r="I124" s="1"/>
  <c r="L62"/>
  <c r="L124" s="1"/>
  <c r="H62"/>
  <c r="H124" s="1"/>
  <c r="O62"/>
  <c r="O124" s="1"/>
  <c r="E62"/>
  <c r="F62"/>
  <c r="F124" s="1"/>
  <c r="G62"/>
  <c r="G124" s="1"/>
  <c r="R62"/>
  <c r="R124" s="1"/>
  <c r="J62"/>
  <c r="J124" s="1"/>
  <c r="Q62"/>
  <c r="Q124" s="1"/>
  <c r="P62"/>
  <c r="P124" s="1"/>
  <c r="M62"/>
  <c r="M124" s="1"/>
  <c r="N62"/>
  <c r="N124" s="1"/>
  <c r="K62"/>
  <c r="K124" s="1"/>
  <c r="I66" l="1"/>
  <c r="I128" s="1"/>
  <c r="M66"/>
  <c r="M128" s="1"/>
  <c r="P66"/>
  <c r="P128" s="1"/>
  <c r="E66"/>
  <c r="K66"/>
  <c r="K128" s="1"/>
  <c r="Q66"/>
  <c r="Q128" s="1"/>
  <c r="N66"/>
  <c r="N128" s="1"/>
  <c r="J66"/>
  <c r="J128" s="1"/>
  <c r="F66"/>
  <c r="F128" s="1"/>
  <c r="L66"/>
  <c r="L128" s="1"/>
  <c r="R66"/>
  <c r="R128" s="1"/>
  <c r="G66"/>
  <c r="G128" s="1"/>
  <c r="H66"/>
  <c r="H128" s="1"/>
  <c r="O66"/>
  <c r="O128" s="1"/>
  <c r="D66"/>
  <c r="D128" s="1"/>
  <c r="D48" l="1"/>
  <c r="S71" l="1"/>
  <c r="S72" s="1"/>
  <c r="D49"/>
  <c r="S48"/>
  <c r="D71" l="1"/>
  <c r="D133" s="1"/>
  <c r="R71"/>
  <c r="Q71"/>
  <c r="S49"/>
  <c r="H71"/>
  <c r="L71"/>
  <c r="O71"/>
  <c r="M71"/>
  <c r="N71"/>
  <c r="K71"/>
  <c r="I71"/>
  <c r="G71"/>
  <c r="P71"/>
  <c r="F71"/>
  <c r="E71"/>
  <c r="J71"/>
  <c r="D72" l="1"/>
  <c r="I133"/>
  <c r="I134" s="1"/>
  <c r="I72"/>
  <c r="Q133"/>
  <c r="Q134" s="1"/>
  <c r="Q72"/>
  <c r="O133"/>
  <c r="O134" s="1"/>
  <c r="O72"/>
  <c r="F133"/>
  <c r="F134" s="1"/>
  <c r="F72"/>
  <c r="K133"/>
  <c r="K134" s="1"/>
  <c r="K72"/>
  <c r="L133"/>
  <c r="L134" s="1"/>
  <c r="L72"/>
  <c r="R133"/>
  <c r="R134" s="1"/>
  <c r="R72"/>
  <c r="N133"/>
  <c r="N134" s="1"/>
  <c r="N72"/>
  <c r="E72"/>
  <c r="P133"/>
  <c r="P134" s="1"/>
  <c r="P72"/>
  <c r="H133"/>
  <c r="H134" s="1"/>
  <c r="H72"/>
  <c r="J133"/>
  <c r="J134" s="1"/>
  <c r="J72"/>
  <c r="G133"/>
  <c r="G134" s="1"/>
  <c r="G72"/>
  <c r="M133"/>
  <c r="M134" s="1"/>
  <c r="M72"/>
  <c r="D134"/>
  <c r="D38" l="1"/>
  <c r="D44" l="1"/>
  <c r="D52" s="1"/>
  <c r="S38"/>
  <c r="S61"/>
  <c r="S67" s="1"/>
  <c r="S75" s="1"/>
  <c r="S76" l="1"/>
  <c r="D61"/>
  <c r="H61"/>
  <c r="P61"/>
  <c r="S44"/>
  <c r="S52" s="1"/>
  <c r="I61"/>
  <c r="Q61"/>
  <c r="G61"/>
  <c r="J61"/>
  <c r="R61"/>
  <c r="N61"/>
  <c r="K61"/>
  <c r="F61"/>
  <c r="O61"/>
  <c r="L61"/>
  <c r="E61"/>
  <c r="M61"/>
  <c r="J67" l="1"/>
  <c r="J75" s="1"/>
  <c r="J76" s="1"/>
  <c r="J123"/>
  <c r="J129" s="1"/>
  <c r="J141" s="1"/>
  <c r="J142" s="1"/>
  <c r="R67"/>
  <c r="R75" s="1"/>
  <c r="R76" s="1"/>
  <c r="R123"/>
  <c r="R129" s="1"/>
  <c r="R141" s="1"/>
  <c r="R142" s="1"/>
  <c r="M67"/>
  <c r="M75" s="1"/>
  <c r="M76" s="1"/>
  <c r="M123"/>
  <c r="M129" s="1"/>
  <c r="M141" s="1"/>
  <c r="M142" s="1"/>
  <c r="L67"/>
  <c r="L75" s="1"/>
  <c r="L76" s="1"/>
  <c r="L123"/>
  <c r="L129" s="1"/>
  <c r="L141" s="1"/>
  <c r="L142" s="1"/>
  <c r="Q67"/>
  <c r="Q75" s="1"/>
  <c r="Q76" s="1"/>
  <c r="Q123"/>
  <c r="Q129" s="1"/>
  <c r="Q141" s="1"/>
  <c r="Q142" s="1"/>
  <c r="E67"/>
  <c r="E75" s="1"/>
  <c r="E76" s="1"/>
  <c r="O67"/>
  <c r="O75" s="1"/>
  <c r="O76" s="1"/>
  <c r="O123"/>
  <c r="O129" s="1"/>
  <c r="O141" s="1"/>
  <c r="O142" s="1"/>
  <c r="I67"/>
  <c r="I75" s="1"/>
  <c r="I76" s="1"/>
  <c r="I123"/>
  <c r="I129" s="1"/>
  <c r="I141" s="1"/>
  <c r="I142" s="1"/>
  <c r="D67"/>
  <c r="D75" s="1"/>
  <c r="D76" s="1"/>
  <c r="D123"/>
  <c r="F67"/>
  <c r="F75" s="1"/>
  <c r="F76" s="1"/>
  <c r="F123"/>
  <c r="F129" s="1"/>
  <c r="F141" s="1"/>
  <c r="F142" s="1"/>
  <c r="K67"/>
  <c r="K75" s="1"/>
  <c r="K76" s="1"/>
  <c r="K123"/>
  <c r="K129" s="1"/>
  <c r="K141" s="1"/>
  <c r="K142" s="1"/>
  <c r="P67"/>
  <c r="P75" s="1"/>
  <c r="P76" s="1"/>
  <c r="P123"/>
  <c r="P129" s="1"/>
  <c r="P141" s="1"/>
  <c r="P142" s="1"/>
  <c r="G123"/>
  <c r="G129" s="1"/>
  <c r="G141" s="1"/>
  <c r="G142" s="1"/>
  <c r="G67"/>
  <c r="G75" s="1"/>
  <c r="G76" s="1"/>
  <c r="N123"/>
  <c r="N129" s="1"/>
  <c r="N141" s="1"/>
  <c r="N142" s="1"/>
  <c r="N67"/>
  <c r="N75" s="1"/>
  <c r="N76" s="1"/>
  <c r="H67"/>
  <c r="H75" s="1"/>
  <c r="H76" s="1"/>
  <c r="H123"/>
  <c r="H129" s="1"/>
  <c r="H141" s="1"/>
  <c r="H142" s="1"/>
  <c r="D129" l="1"/>
  <c r="D141" s="1"/>
  <c r="D142" s="1"/>
  <c r="E105" l="1"/>
  <c r="E122" l="1"/>
  <c r="E133"/>
  <c r="S133" s="1"/>
  <c r="E136"/>
  <c r="S136" s="1"/>
  <c r="E128"/>
  <c r="S128" s="1"/>
  <c r="E131"/>
  <c r="E125"/>
  <c r="S125" s="1"/>
  <c r="E132"/>
  <c r="S132" s="1"/>
  <c r="E124"/>
  <c r="S124" s="1"/>
  <c r="E123"/>
  <c r="S123" s="1"/>
  <c r="S131" l="1"/>
  <c r="S134" s="1"/>
  <c r="E134"/>
  <c r="E129"/>
  <c r="S122"/>
  <c r="S129" s="1"/>
  <c r="S141" l="1"/>
  <c r="E141"/>
  <c r="E142" l="1"/>
  <c r="S142"/>
</calcChain>
</file>

<file path=xl/comments1.xml><?xml version="1.0" encoding="utf-8"?>
<comments xmlns="http://schemas.openxmlformats.org/spreadsheetml/2006/main">
  <authors>
    <author>Tomasz Pawelec</author>
  </authors>
  <commentList>
    <comment ref="S31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tylko rozproszone źródła - bez energetyki wodnej oraz bez współspalania (Kogeneracja)</t>
        </r>
      </text>
    </comment>
  </commentList>
</comments>
</file>

<file path=xl/comments2.xml><?xml version="1.0" encoding="utf-8"?>
<comments xmlns="http://schemas.openxmlformats.org/spreadsheetml/2006/main">
  <authors>
    <author>Tomasz Pawelec</author>
  </authors>
  <commentList>
    <comment ref="B28" authorId="0">
      <text>
        <r>
          <rPr>
            <b/>
            <sz val="9"/>
            <color indexed="81"/>
            <rFont val="Tahoma"/>
            <family val="2"/>
            <charset val="238"/>
          </rPr>
          <t>Tomasz Pawelec:</t>
        </r>
        <r>
          <rPr>
            <sz val="9"/>
            <color indexed="81"/>
            <rFont val="Tahoma"/>
            <family val="2"/>
            <charset val="238"/>
          </rPr>
          <t xml:space="preserve">
w tym koks</t>
        </r>
      </text>
    </comment>
  </commentList>
</comments>
</file>

<file path=xl/sharedStrings.xml><?xml version="1.0" encoding="utf-8"?>
<sst xmlns="http://schemas.openxmlformats.org/spreadsheetml/2006/main" count="1403" uniqueCount="373">
  <si>
    <t>Budynki mieszkalne</t>
  </si>
  <si>
    <t>Transport</t>
  </si>
  <si>
    <t>Sektor</t>
  </si>
  <si>
    <t>Podsektor</t>
  </si>
  <si>
    <t>Gospodarka odpadami</t>
  </si>
  <si>
    <t>Spalanie odpadów</t>
  </si>
  <si>
    <t>Użytkowanie ziemi</t>
  </si>
  <si>
    <t>Składowanie odpadów stałych</t>
  </si>
  <si>
    <t>Biologiczne przetwarzanie odpadów</t>
  </si>
  <si>
    <t>Budynki mieszkalne komunalne</t>
  </si>
  <si>
    <t>Budynki mieszkalne pozostałe</t>
  </si>
  <si>
    <t>Przemysł</t>
  </si>
  <si>
    <t>Energetyka</t>
  </si>
  <si>
    <t>Rolnictwo</t>
  </si>
  <si>
    <t>Leśnictwo</t>
  </si>
  <si>
    <t>Oświetlenie uliczne</t>
  </si>
  <si>
    <t>Oświetlenie budynków</t>
  </si>
  <si>
    <t>Sygnalizacja</t>
  </si>
  <si>
    <t>Gospodarka wodno-ściekowa</t>
  </si>
  <si>
    <t>Rolnictwo - hodowla</t>
  </si>
  <si>
    <t>I.1.</t>
  </si>
  <si>
    <t>I.2.</t>
  </si>
  <si>
    <t>I.3.</t>
  </si>
  <si>
    <t>I.4.</t>
  </si>
  <si>
    <t>I.5.</t>
  </si>
  <si>
    <t>I.6.</t>
  </si>
  <si>
    <t>II.1.</t>
  </si>
  <si>
    <t>II.2.</t>
  </si>
  <si>
    <t>III.1.</t>
  </si>
  <si>
    <t>III.2.</t>
  </si>
  <si>
    <t>III.3.</t>
  </si>
  <si>
    <t>III.4.</t>
  </si>
  <si>
    <t>V.1.</t>
  </si>
  <si>
    <t>I.1.a</t>
  </si>
  <si>
    <t>I.1.b</t>
  </si>
  <si>
    <t>I.2.a</t>
  </si>
  <si>
    <t>I.2.b</t>
  </si>
  <si>
    <t>I.5.a.</t>
  </si>
  <si>
    <t>I.5.b.</t>
  </si>
  <si>
    <t>I.5.c.</t>
  </si>
  <si>
    <t>Rybołóstwo</t>
  </si>
  <si>
    <t>Rolnictwo, leśnictwo i rybołóstwo</t>
  </si>
  <si>
    <t>Oświetlenie publiczne</t>
  </si>
  <si>
    <t>I.6.a.</t>
  </si>
  <si>
    <t>I.6.b.</t>
  </si>
  <si>
    <t>I.6.c.</t>
  </si>
  <si>
    <t>Transport drogowy</t>
  </si>
  <si>
    <t>Transport drogowy gminny</t>
  </si>
  <si>
    <t>Transport drogowy pozostały</t>
  </si>
  <si>
    <t>II.1.a.</t>
  </si>
  <si>
    <t>II.1.b.</t>
  </si>
  <si>
    <t>II.1.c.</t>
  </si>
  <si>
    <t>II.2.b.</t>
  </si>
  <si>
    <t>II.2.a.</t>
  </si>
  <si>
    <t>Budynki instytucji, komercyjne i urządzenia</t>
  </si>
  <si>
    <t>Budynki publiczne, użytkowe i urządzenia gminne</t>
  </si>
  <si>
    <t>Budynki publiczne, użytkowe, komercyjne i urządzenia</t>
  </si>
  <si>
    <t xml:space="preserve">I. </t>
  </si>
  <si>
    <t>Użytkowanie energii w budynkach i urządzeniach</t>
  </si>
  <si>
    <t xml:space="preserve">II. </t>
  </si>
  <si>
    <t xml:space="preserve">III. </t>
  </si>
  <si>
    <t xml:space="preserve">IV.  </t>
  </si>
  <si>
    <t xml:space="preserve">IV.1. </t>
  </si>
  <si>
    <t>Procesy produkcji przemysłowej</t>
  </si>
  <si>
    <t xml:space="preserve">V.2. </t>
  </si>
  <si>
    <t xml:space="preserve">V.3. </t>
  </si>
  <si>
    <t>Rolnictwo, leśnictwo i inne użytkowanie ziemi (AFOLU)</t>
  </si>
  <si>
    <t>Kategoria</t>
  </si>
  <si>
    <t>Transport drogowy publiczny gminny</t>
  </si>
  <si>
    <t>Transport szynowy publiczny gminny</t>
  </si>
  <si>
    <t>Transport szynowy pozostały</t>
  </si>
  <si>
    <t>Transport szynowy</t>
  </si>
  <si>
    <t>II.2.c.</t>
  </si>
  <si>
    <t>Transport szynowy publiczny pozostały</t>
  </si>
  <si>
    <t xml:space="preserve">Rolnictwo, leśnictwo rybactwo i inne użytkowanie ziemi </t>
  </si>
  <si>
    <t>V</t>
  </si>
  <si>
    <t>GPC</t>
  </si>
  <si>
    <t>Energia elektryczna</t>
  </si>
  <si>
    <t>Gaz miejski</t>
  </si>
  <si>
    <t>Gaz koksowniczy</t>
  </si>
  <si>
    <t>Gaz ziemny</t>
  </si>
  <si>
    <t>Ciepło sieciowe</t>
  </si>
  <si>
    <t>Olej opałowy</t>
  </si>
  <si>
    <t>Gaz ciekły</t>
  </si>
  <si>
    <t>Olej napędowy</t>
  </si>
  <si>
    <t>Benzyna</t>
  </si>
  <si>
    <t>Węgiel kamienny</t>
  </si>
  <si>
    <t>Koks</t>
  </si>
  <si>
    <t>MWh</t>
  </si>
  <si>
    <t>Mg</t>
  </si>
  <si>
    <t>Biogaz</t>
  </si>
  <si>
    <t>Odpady (MSW)</t>
  </si>
  <si>
    <t>Zakres 2
wykorzystanie energii</t>
  </si>
  <si>
    <t>Zakres 1
spalanie paliw (OZE)</t>
  </si>
  <si>
    <t>Zakres 1
spalanie paliw (palilwa kopalne)</t>
  </si>
  <si>
    <t>EF</t>
  </si>
  <si>
    <t>km</t>
  </si>
  <si>
    <t>Wrocław</t>
  </si>
  <si>
    <t>SUMA</t>
  </si>
  <si>
    <t>zmiana</t>
  </si>
  <si>
    <t>Emisje wg źródeł energii</t>
  </si>
  <si>
    <t>Emisja</t>
  </si>
  <si>
    <t>Udział</t>
  </si>
  <si>
    <t>Emisje wg podsektorów</t>
  </si>
  <si>
    <r>
      <t>Mg CO</t>
    </r>
    <r>
      <rPr>
        <sz val="8"/>
        <color indexed="9"/>
        <rFont val="Arial"/>
        <family val="2"/>
        <charset val="238"/>
      </rPr>
      <t>2</t>
    </r>
    <r>
      <rPr>
        <sz val="10"/>
        <color indexed="9"/>
        <rFont val="Arial"/>
        <family val="2"/>
        <charset val="238"/>
      </rPr>
      <t>e</t>
    </r>
  </si>
  <si>
    <t>Zakres 1
emisje bezpośrednie GHG</t>
  </si>
  <si>
    <t>Emisja CH4</t>
  </si>
  <si>
    <t>Emisja N2O</t>
  </si>
  <si>
    <t>Emisja CO2</t>
  </si>
  <si>
    <t>NO</t>
  </si>
  <si>
    <t>CO2e</t>
  </si>
  <si>
    <t>CO2</t>
  </si>
  <si>
    <t>CH4</t>
  </si>
  <si>
    <t>SF6</t>
  </si>
  <si>
    <t>HFC</t>
  </si>
  <si>
    <t>Zmiana</t>
  </si>
  <si>
    <t>Pozostałe źródła</t>
  </si>
  <si>
    <t>Wskaźniki emisji</t>
  </si>
  <si>
    <t>Zakres 3
emisje bezpośrednie GHG</t>
  </si>
  <si>
    <t>Emisja CO2e</t>
  </si>
  <si>
    <t>Ilość pociągów na rok</t>
  </si>
  <si>
    <t>Pociągokilometry</t>
  </si>
  <si>
    <t>zużycie en elektr. [MWh]</t>
  </si>
  <si>
    <t>Zużycie</t>
  </si>
  <si>
    <t>Emisje bezpośrednie</t>
  </si>
  <si>
    <t>AFOLU</t>
  </si>
  <si>
    <t>N2O</t>
  </si>
  <si>
    <t>SUMA (CO2e)</t>
  </si>
  <si>
    <t>SUMA kontrolna</t>
  </si>
  <si>
    <t>Na mieszkańca</t>
  </si>
  <si>
    <t>Energetyka (EU-ETS)</t>
  </si>
  <si>
    <t>Paliwo/energia</t>
  </si>
  <si>
    <t xml:space="preserve">wartość </t>
  </si>
  <si>
    <t>Wartość opałowa</t>
  </si>
  <si>
    <t>Energia</t>
  </si>
  <si>
    <t xml:space="preserve"> CO2</t>
  </si>
  <si>
    <t>jedn.</t>
  </si>
  <si>
    <t>Gęstość</t>
  </si>
  <si>
    <t>Emisje [Mg]</t>
  </si>
  <si>
    <t>Wskaźniki emisji [kg/GJ]</t>
  </si>
  <si>
    <t>-</t>
  </si>
  <si>
    <t>Emisja [Mg]</t>
  </si>
  <si>
    <t>Notation keys</t>
  </si>
  <si>
    <t>PFC</t>
  </si>
  <si>
    <t>NF3</t>
  </si>
  <si>
    <t>Sum CO2e</t>
  </si>
  <si>
    <t>CO2 (b)</t>
  </si>
  <si>
    <t>Emisje ze spalania paliw w granicach miasta</t>
  </si>
  <si>
    <t>Emisje z wykorzystania energii z sieci w granicach miasta</t>
  </si>
  <si>
    <t>Emisje ze strat dystrybucyjnych sieci energetycznych</t>
  </si>
  <si>
    <t>Zakres (scope)</t>
  </si>
  <si>
    <t>I.1.a.2.</t>
  </si>
  <si>
    <t>I.1.a.3</t>
  </si>
  <si>
    <t>I.1.a.1</t>
  </si>
  <si>
    <t>Jakość danych</t>
  </si>
  <si>
    <t>AD</t>
  </si>
  <si>
    <t>Komentarz</t>
  </si>
  <si>
    <t>GPC ref no.</t>
  </si>
  <si>
    <t>Sednia ilość pociągów na dobę</t>
  </si>
  <si>
    <t>II.2.b</t>
  </si>
  <si>
    <t>II.2.c</t>
  </si>
  <si>
    <t>Biodiesel</t>
  </si>
  <si>
    <t>Etanol</t>
  </si>
  <si>
    <t>BENZYNA</t>
  </si>
  <si>
    <t>BIODIESEL</t>
  </si>
  <si>
    <t>ENERGIA ELEKTRYCZNA</t>
  </si>
  <si>
    <t>ETANOL</t>
  </si>
  <si>
    <t>GAZ PŁYNNY (PROPAN_BUTAN)</t>
  </si>
  <si>
    <t>GAZ ZIEMNY SPRĘŻONY (METAN)</t>
  </si>
  <si>
    <t>OLEJ NAPĘDOWY</t>
  </si>
  <si>
    <t>1399 i mniej</t>
  </si>
  <si>
    <t>1400-1999</t>
  </si>
  <si>
    <t>2000 i wiecej</t>
  </si>
  <si>
    <t>BD</t>
  </si>
  <si>
    <t>AUTOBUS</t>
  </si>
  <si>
    <t>CIĄGNIK SAMOCHODOWY</t>
  </si>
  <si>
    <t>MOTOCYKL</t>
  </si>
  <si>
    <t>SAMOCHÓD CIĘŻAROWY</t>
  </si>
  <si>
    <t>SAMOCHÓD OSOBOWY</t>
  </si>
  <si>
    <t>SAMOCHÓD SPECJALNY</t>
  </si>
  <si>
    <t>KATEGORIA</t>
  </si>
  <si>
    <t>LICZBA ZAREJESTROWANYCH POJAZDÓW</t>
  </si>
  <si>
    <t>ZUŻYCIE PALIWA/ENERGII [dm3], [MWh]</t>
  </si>
  <si>
    <t>Pckm - autobusy szynowe</t>
  </si>
  <si>
    <t>Pckm - składy elektryczne</t>
  </si>
  <si>
    <t>zużycie ON [m3]</t>
  </si>
  <si>
    <t>DANE O ILOŚCI POCIĄGÓW PASAŻERSKICH W RUCHU LOKALNYM</t>
  </si>
  <si>
    <t>Punkty pomiarowe</t>
  </si>
  <si>
    <t>WROCŁAW - JELCZ LASKOWICE</t>
  </si>
  <si>
    <t>WROCŁAW - WOJKOWICE</t>
  </si>
  <si>
    <t>KĄTY WROCŁAWSKIE - WROCŁAW</t>
  </si>
  <si>
    <t>WROCŁAW - MOKRONOS DLN.</t>
  </si>
  <si>
    <t>WROCŁAW - SZEWCE</t>
  </si>
  <si>
    <t>WROCŁAW - BRZEZINKA ŚREDZKA</t>
  </si>
  <si>
    <t>TRZEBNICA-WROCŁAW</t>
  </si>
  <si>
    <t>WROCŁAW-WĘZEŁ BIELANY WR</t>
  </si>
  <si>
    <t>WROCŁAW-DŁUGOŁĘKA</t>
  </si>
  <si>
    <t>Pojazdy
samochod.
Ogółem</t>
  </si>
  <si>
    <t>Motocykle</t>
  </si>
  <si>
    <t>Sam. osob.
Mikrobusy</t>
  </si>
  <si>
    <t>ciężarowe bez przycz.</t>
  </si>
  <si>
    <t>Autobusy</t>
  </si>
  <si>
    <t>Ciągniki</t>
  </si>
  <si>
    <t>Rowery</t>
  </si>
  <si>
    <t>Lekkie sam.
ciężarowe
Pocz. (dostawcze)</t>
  </si>
  <si>
    <t>Średnia</t>
  </si>
  <si>
    <t>Udział pojazdów spoza gminy</t>
  </si>
  <si>
    <t>Węgiel kamienny - energetyczny</t>
  </si>
  <si>
    <t>Węgiel kamienny - inne rodzaje</t>
  </si>
  <si>
    <t>Drewno</t>
  </si>
  <si>
    <t>Zmienione średnie spalanie pojazdów - na podstawie danych EMEP/CORINARIR Guidebook 2014</t>
  </si>
  <si>
    <t>Kto</t>
  </si>
  <si>
    <t>Co</t>
  </si>
  <si>
    <t>Kiedy</t>
  </si>
  <si>
    <t>TP</t>
  </si>
  <si>
    <t>Historia zmian pliku</t>
  </si>
  <si>
    <t>Inwentaryzacja emisji dla</t>
  </si>
  <si>
    <t>Rok inwentaryzacji</t>
  </si>
  <si>
    <t>Liczba mieszkańców w roku inwentaryzacji</t>
  </si>
  <si>
    <t>IPCC</t>
  </si>
  <si>
    <t>Jednostka raportowania emisji</t>
  </si>
  <si>
    <t>Mg CO2e</t>
  </si>
  <si>
    <t>Podsumowanie inwantaryzacji</t>
  </si>
  <si>
    <t>Końcowe zużycie energii</t>
  </si>
  <si>
    <t>Zużycie energii [MWh]</t>
  </si>
  <si>
    <t>Ciepło/chłód</t>
  </si>
  <si>
    <t>Paliwa kopalne</t>
  </si>
  <si>
    <t>Odnawialne źródła energii</t>
  </si>
  <si>
    <t>Razem</t>
  </si>
  <si>
    <t>LPG</t>
  </si>
  <si>
    <t>Węgiel brunatny</t>
  </si>
  <si>
    <t>Inne paliwa kopalne</t>
  </si>
  <si>
    <t>Olej roślinny</t>
  </si>
  <si>
    <t>Biopaliwa</t>
  </si>
  <si>
    <t>Inna biomasa</t>
  </si>
  <si>
    <t>Solarna cieplna</t>
  </si>
  <si>
    <t>Geotermia</t>
  </si>
  <si>
    <t>BUDYNKI , WYPOSAŻENIE/URZĄDZENIA I PRZEMYSŁ</t>
  </si>
  <si>
    <t>Budynki, wyposażenie/urządzenia komunalne</t>
  </si>
  <si>
    <t>Budynki, wyposażenie/urządzenia usługowe (niekomunalne)\</t>
  </si>
  <si>
    <t>Non-ETS</t>
  </si>
  <si>
    <t xml:space="preserve">ETS </t>
  </si>
  <si>
    <t>Suma budynki, wyposażenie/urządzenia i przemysł</t>
  </si>
  <si>
    <t>TRANSPORT</t>
  </si>
  <si>
    <t>Pojazdy gminne</t>
  </si>
  <si>
    <t>Transport publiczny gminny</t>
  </si>
  <si>
    <t xml:space="preserve">Transport prywatny i komercyjny  </t>
  </si>
  <si>
    <t>Transport razem</t>
  </si>
  <si>
    <t>INNE</t>
  </si>
  <si>
    <t>Rolnictwo, leśnictwo, rybołówstwo</t>
  </si>
  <si>
    <t>RAZEM</t>
  </si>
  <si>
    <t>Lokalna/dystrybuowana produkcja energii elektrycznej ze źródeł odnawialnych</t>
  </si>
  <si>
    <t>Lokalne odnawialne źródła energii elektrycznej</t>
  </si>
  <si>
    <t>Wyprodukowana energia odnawialna [MWh]</t>
  </si>
  <si>
    <r>
      <t>Współczynnik emisji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[Mg/MWh prod.]</t>
    </r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</si>
  <si>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/CO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</si>
  <si>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Energetyka wiatrowa</t>
  </si>
  <si>
    <t>Energetyka wodna</t>
  </si>
  <si>
    <t>Fotowoltaika</t>
  </si>
  <si>
    <t>Energetyka geotermiczna</t>
  </si>
  <si>
    <t>Lokalna/dystrybuowana produkcja energii elektrycznej</t>
  </si>
  <si>
    <t>Lokalne odnawialne źródła energii elektrycznej (źródła &gt; 20 MW nie zalecane )</t>
  </si>
  <si>
    <t>Wyprodukowana energia elektryczna [MWh]</t>
  </si>
  <si>
    <t>Wkład nośników energii [MWh]</t>
  </si>
  <si>
    <t>Odpady</t>
  </si>
  <si>
    <t>Inne odnawialne</t>
  </si>
  <si>
    <t>Inne</t>
  </si>
  <si>
    <t>Z odnawialnych źródeł</t>
  </si>
  <si>
    <t>Źródła kopalne</t>
  </si>
  <si>
    <t>Odnawialne źródła</t>
  </si>
  <si>
    <t>Kogeneracja</t>
  </si>
  <si>
    <t>Lokalna produkcja ciepła/chłodu</t>
  </si>
  <si>
    <t>Lokalna produkcja ciepła/zimna</t>
  </si>
  <si>
    <t>Wyprodukowana energia ciepła/chłodu [MWh]</t>
  </si>
  <si>
    <t>Ciepłownie sieciowe</t>
  </si>
  <si>
    <t>Krajowy</t>
  </si>
  <si>
    <t>Lokalny</t>
  </si>
  <si>
    <t>Diesel</t>
  </si>
  <si>
    <t>Emisje z sektorów nie związanych z energią</t>
  </si>
  <si>
    <t>Sektory niezwiązane z energią</t>
  </si>
  <si>
    <r>
      <t>Emisja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</si>
  <si>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Podsumowanie wielkości emisji gazów cieplarnianych</t>
  </si>
  <si>
    <r>
      <t>Emisje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[Mg] /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e [Mg]</t>
    </r>
  </si>
  <si>
    <t>Suma częściowa</t>
  </si>
  <si>
    <t xml:space="preserve">INNE </t>
  </si>
  <si>
    <t>INNE NIE ZWIĄZANE Z ENERGIĄ</t>
  </si>
  <si>
    <t xml:space="preserve">Zastosowane wskaźniki emisji dla energii i paliw </t>
  </si>
  <si>
    <r>
      <t>Mg 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/MWh</t>
    </r>
  </si>
  <si>
    <r>
      <t>Mg CH</t>
    </r>
    <r>
      <rPr>
        <b/>
        <vertAlign val="subscript"/>
        <sz val="10"/>
        <color indexed="8"/>
        <rFont val="Arial"/>
        <family val="2"/>
        <charset val="238"/>
      </rPr>
      <t>4</t>
    </r>
    <r>
      <rPr>
        <b/>
        <sz val="10"/>
        <color indexed="8"/>
        <rFont val="Arial"/>
        <family val="2"/>
        <charset val="238"/>
      </rPr>
      <t>/MWh</t>
    </r>
  </si>
  <si>
    <r>
      <t>Mg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O/MWh</t>
    </r>
  </si>
  <si>
    <r>
      <t>GWP CH</t>
    </r>
    <r>
      <rPr>
        <b/>
        <vertAlign val="subscript"/>
        <sz val="10"/>
        <color indexed="8"/>
        <rFont val="Arial"/>
        <family val="2"/>
        <charset val="238"/>
      </rPr>
      <t>4</t>
    </r>
  </si>
  <si>
    <r>
      <t>GWP N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>O</t>
    </r>
  </si>
  <si>
    <t>Metodologia sporządzania prognozy wielkości zużycia energii i emisji CO2 dla roku 2020</t>
  </si>
  <si>
    <t>Współczynniki wzrostu zapotrzebowania na energię wg sektorów oraz paliw</t>
  </si>
  <si>
    <t>procentowy wzrost zapotrzebowania na energię przyjmujemy według PEP, dla poszczególnych sektorów gospodarki (gospodarstwa domowe, transport, usługi, przemysł); sektor gospodarki wodno - ciekowej oraz oświetlenie publiczne włączono do sektora usług;</t>
  </si>
  <si>
    <t>zwiększone zapotrzebowanie na energię dla każdego sektora skorygowano miks energetyczny według prognozowanych zmian udziału poszczególnych nośników energii wg PEP</t>
  </si>
  <si>
    <t>Zmiana zapotrzebowania wg sektorów</t>
  </si>
  <si>
    <t>PROGNOZA ZAPOTRZEBOWANIA NA ENERGIĘ FINANLNĄ WG PEP 2030 [Mtoe]</t>
  </si>
  <si>
    <t>W podziale na sektory</t>
  </si>
  <si>
    <t>przemysł</t>
  </si>
  <si>
    <t>transport</t>
  </si>
  <si>
    <t>usługi</t>
  </si>
  <si>
    <t>gospodarstwa domowe</t>
  </si>
  <si>
    <t>W podziale na nośniki</t>
  </si>
  <si>
    <t>węgiel</t>
  </si>
  <si>
    <t>produkty nafotwe</t>
  </si>
  <si>
    <t>gaz ziemny</t>
  </si>
  <si>
    <t>energia odnawialna</t>
  </si>
  <si>
    <t>energia elektryczna</t>
  </si>
  <si>
    <t>ciepło sieciowe</t>
  </si>
  <si>
    <t>Zmiana zapotrzebowania wg nośników</t>
  </si>
  <si>
    <t>pozostałe paliwa</t>
  </si>
  <si>
    <t>Podsumowanie prognozy - scenariusz BAU</t>
  </si>
  <si>
    <t xml:space="preserve">dla obliczenia emisji przyjęto wskaźniki emisji identyczne jak dla roku </t>
  </si>
  <si>
    <t>zmiana r/r</t>
  </si>
  <si>
    <t>zmiana od roku wyjściowego (do prognzoy)</t>
  </si>
  <si>
    <t>do prog</t>
  </si>
  <si>
    <t>dla sektora gminnego (budynki, oświetlenie, pojazdy gminne) przyjęto zerowy wzrost</t>
  </si>
  <si>
    <t>dla rolnictwa przyjęto wzrost jak dla gospodarstw domowych</t>
  </si>
  <si>
    <t>Prognozowane końcowe zużycie energii</t>
  </si>
  <si>
    <t>Prognozowana wielkość emisji gazów cieplarnianych</t>
  </si>
  <si>
    <t>Etap pośredni - modyfikacja miksu paliwowego</t>
  </si>
  <si>
    <t>emisje z sektorów nie związanych z energią pozostawione są bez zmian (gosp. odpadami, AFOLU)</t>
  </si>
  <si>
    <t>Prognoza emisji dla</t>
  </si>
  <si>
    <t>Rok prognozy</t>
  </si>
  <si>
    <t>Prognozowana liczba mieszkańców</t>
  </si>
  <si>
    <t>parametry wprowadzone automatyzcnie (PEP2030)</t>
  </si>
  <si>
    <t>parametry wprowadzone ręcznie</t>
  </si>
  <si>
    <t>Zmiana w porównaniu do roku wyjściowego</t>
  </si>
  <si>
    <t>prognozowane końcowe zużycie energii elektrycznej pokrywa się z prognozą przyspieszonego rozwoju z ZPZC</t>
  </si>
  <si>
    <t>prognozowane końcowe zużycieciepła sieciowego pokrywa się z prognozym przyrostem zapotrzebowania na moc określonym w ZPZC</t>
  </si>
  <si>
    <t>NE</t>
  </si>
  <si>
    <t>IE</t>
  </si>
  <si>
    <t>dodana suma dla cdp</t>
  </si>
  <si>
    <t>przygotowanie arkusza 2014, dodanie pomocniczych kalkulatorów</t>
  </si>
  <si>
    <t>wzrost[%]</t>
  </si>
  <si>
    <t>LICZBA ZAREJESTROWANYCH POJAZDÓW 2013</t>
  </si>
  <si>
    <t>PROCENTOWA ZMIANA ILOŚCI 2014/2013</t>
  </si>
  <si>
    <t>LICZBA ZAREJESTROWANYCH POJAZDÓW 2014</t>
  </si>
  <si>
    <t>Korekta procentowa ilości pojazdów wg danych WSO - Dział Rejestracji Pojazdów</t>
  </si>
  <si>
    <t>zmiana do bazowego</t>
  </si>
  <si>
    <t>Stan 2013</t>
  </si>
  <si>
    <t>Energia Elektryczna</t>
  </si>
  <si>
    <t>Tauron Ekoenergia - ZEW Wrocław</t>
  </si>
  <si>
    <t>Kogeneracja S.A.</t>
  </si>
  <si>
    <t>Rozproszone instalacje OZE - szacunki</t>
  </si>
  <si>
    <t>MW</t>
  </si>
  <si>
    <t>elektryczna</t>
  </si>
  <si>
    <t>szac. Rozproszone PV</t>
  </si>
  <si>
    <t>cieplna</t>
  </si>
  <si>
    <t>szac.pompy ciepła</t>
  </si>
  <si>
    <t>Rozproszone - wzrost o 5% w porównaniu z 2013 r.</t>
  </si>
  <si>
    <t>udział OZE</t>
  </si>
  <si>
    <t>Transport lotniczy</t>
  </si>
  <si>
    <t>System dystrybucji gazu</t>
  </si>
  <si>
    <t>Paliwo lotnicze</t>
  </si>
  <si>
    <t>Podsumowanie emisji w układzie SEAP nie uwzględnia emisji:</t>
  </si>
  <si>
    <t>a) z transportu lotniczego (GPC II.4)</t>
  </si>
  <si>
    <t>b) z systemu dystrybucji gazu ziemnego (GPC I.8)</t>
  </si>
  <si>
    <t>Różnica pomiędzy SUM_SEAP a SUM_PGN i SUM_CDP</t>
  </si>
  <si>
    <t>Gaz ziemny zaazotowany</t>
  </si>
  <si>
    <t>Redukcja emisji w stosunku do roku bazowego</t>
  </si>
  <si>
    <t>Budynki i urządzenia</t>
  </si>
  <si>
    <t>Użytkowanie ziemi (AFOLU)</t>
  </si>
  <si>
    <t>Procesy przemysłowe i użytkowanie produktów</t>
  </si>
  <si>
    <t>Rolnicwo, leśnictwo i użytkowanie ziemi</t>
  </si>
  <si>
    <t>Zakres 1</t>
  </si>
  <si>
    <t>Zakres 2</t>
  </si>
  <si>
    <t>Zakres 3</t>
  </si>
  <si>
    <t>Poziom raportowania BASIC</t>
  </si>
  <si>
    <t>Emisje per capita</t>
  </si>
  <si>
    <t>%</t>
  </si>
  <si>
    <t>Wielkość emisji [Mg CO2e]</t>
  </si>
</sst>
</file>

<file path=xl/styles.xml><?xml version="1.0" encoding="utf-8"?>
<styleSheet xmlns="http://schemas.openxmlformats.org/spreadsheetml/2006/main">
  <numFmts count="10">
    <numFmt numFmtId="43" formatCode="_-* #,##0.00\ _z_ł_-;\-* #,##0.00\ _z_ł_-;_-* &quot;-&quot;??\ _z_ł_-;_-@_-"/>
    <numFmt numFmtId="164" formatCode="_-* #,##0.00_-;\-* #,##0.00_-;_-* &quot;-&quot;??_-;_-@_-"/>
    <numFmt numFmtId="165" formatCode="_-* #,##0\ _z_ł_-;\-* #,##0\ _z_ł_-;_-* &quot;-&quot;??\ _z_ł_-;_-@_-"/>
    <numFmt numFmtId="167" formatCode="0.0%"/>
    <numFmt numFmtId="170" formatCode="#,##0.0000"/>
    <numFmt numFmtId="171" formatCode="#,##0.000000"/>
    <numFmt numFmtId="173" formatCode="#,##0.0000000"/>
    <numFmt numFmtId="174" formatCode="#,##0.00000000"/>
    <numFmt numFmtId="175" formatCode="0.000%"/>
    <numFmt numFmtId="180" formatCode="_-* #,##0.00\ _F_-;\-* #,##0.00\ _F_-;_-* &quot;-&quot;??\ _F_-;_-@_-"/>
  </numFmts>
  <fonts count="10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9"/>
      <name val="Arial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48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3" tint="0.39997558519241921"/>
      <name val="Arial"/>
      <family val="2"/>
      <charset val="238"/>
    </font>
    <font>
      <b/>
      <sz val="16"/>
      <color theme="8" tint="-0.249977111117893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Times New Roman CE"/>
      <charset val="238"/>
    </font>
    <font>
      <sz val="11"/>
      <color rgb="FF006100"/>
      <name val="Calibri"/>
      <family val="2"/>
      <charset val="238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Times New Roman"/>
      <family val="1"/>
    </font>
    <font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0"/>
      <color indexed="12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</font>
    <font>
      <sz val="11"/>
      <color indexed="9"/>
      <name val="Calibri"/>
      <family val="2"/>
      <charset val="186"/>
    </font>
    <font>
      <b/>
      <sz val="11"/>
      <color indexed="63"/>
      <name val="Calibri"/>
      <family val="2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8"/>
      <name val="Helvetica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20"/>
      <name val="Calibri"/>
      <family val="2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  <charset val="186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  <charset val="186"/>
    </font>
    <font>
      <sz val="10"/>
      <name val="Arial"/>
      <family val="2"/>
      <charset val="204"/>
    </font>
    <font>
      <b/>
      <sz val="11"/>
      <color indexed="12"/>
      <name val="Arial"/>
      <family val="2"/>
      <charset val="204"/>
    </font>
    <font>
      <sz val="8"/>
      <name val="Helvetica"/>
      <family val="2"/>
    </font>
  </fonts>
  <fills count="6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AACD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EB7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BE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7FC32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Trellis"/>
    </fill>
  </fills>
  <borders count="16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4" tint="0.3999755851924192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4" tint="0.3999755851924192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377">
    <xf numFmtId="0" fontId="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" fontId="7" fillId="0" borderId="0"/>
    <xf numFmtId="0" fontId="20" fillId="0" borderId="0"/>
    <xf numFmtId="0" fontId="21" fillId="0" borderId="0"/>
    <xf numFmtId="9" fontId="19" fillId="0" borderId="0" applyFont="0" applyFill="0" applyBorder="0" applyAlignment="0" applyProtection="0"/>
    <xf numFmtId="0" fontId="50" fillId="0" borderId="0"/>
    <xf numFmtId="0" fontId="51" fillId="0" borderId="0" applyBorder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2" fillId="20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0"/>
    <xf numFmtId="0" fontId="1" fillId="0" borderId="0"/>
    <xf numFmtId="0" fontId="53" fillId="21" borderId="143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>
      <alignment horizontal="right"/>
    </xf>
    <xf numFmtId="0" fontId="7" fillId="0" borderId="0"/>
    <xf numFmtId="0" fontId="62" fillId="0" borderId="0" applyNumberFormat="0" applyFill="0" applyBorder="0" applyProtection="0">
      <alignment horizontal="left" vertical="center"/>
    </xf>
    <xf numFmtId="0" fontId="63" fillId="41" borderId="0" applyBorder="0">
      <alignment horizontal="right" vertical="center"/>
    </xf>
    <xf numFmtId="0" fontId="63" fillId="41" borderId="30">
      <alignment horizontal="right" vertical="center"/>
    </xf>
    <xf numFmtId="0" fontId="7" fillId="0" borderId="0" applyNumberFormat="0" applyFont="0" applyFill="0" applyBorder="0" applyProtection="0">
      <alignment horizontal="left" vertical="center" indent="2"/>
    </xf>
    <xf numFmtId="0" fontId="63" fillId="41" borderId="0" applyBorder="0">
      <alignment horizontal="right" vertical="center"/>
    </xf>
    <xf numFmtId="0" fontId="63" fillId="0" borderId="0" applyBorder="0">
      <alignment horizontal="right" vertical="center"/>
    </xf>
    <xf numFmtId="0" fontId="7" fillId="42" borderId="0" applyNumberFormat="0" applyFont="0" applyBorder="0" applyAlignment="0" applyProtection="0"/>
    <xf numFmtId="0" fontId="7" fillId="0" borderId="0" applyNumberFormat="0" applyFont="0" applyFill="0" applyBorder="0" applyProtection="0">
      <alignment horizontal="left" vertical="center" indent="5"/>
    </xf>
    <xf numFmtId="0" fontId="63" fillId="0" borderId="11" applyNumberFormat="0" applyFill="0" applyAlignment="0" applyProtection="0"/>
    <xf numFmtId="0" fontId="61" fillId="0" borderId="146">
      <alignment horizontal="left" vertical="top" wrapText="1"/>
    </xf>
    <xf numFmtId="0" fontId="61" fillId="2" borderId="11">
      <alignment horizontal="right" vertical="center"/>
    </xf>
    <xf numFmtId="0" fontId="61" fillId="2" borderId="11">
      <alignment horizontal="right" vertical="center"/>
    </xf>
    <xf numFmtId="0" fontId="63" fillId="0" borderId="48">
      <alignment horizontal="left" vertical="center" wrapText="1" indent="2"/>
    </xf>
    <xf numFmtId="0" fontId="61" fillId="2" borderId="20">
      <alignment horizontal="right" vertical="center"/>
    </xf>
    <xf numFmtId="0" fontId="63" fillId="0" borderId="11">
      <alignment horizontal="right" vertical="center"/>
    </xf>
    <xf numFmtId="0" fontId="7" fillId="0" borderId="3"/>
    <xf numFmtId="0" fontId="65" fillId="41" borderId="11">
      <alignment horizontal="right" vertical="center"/>
    </xf>
    <xf numFmtId="0" fontId="63" fillId="42" borderId="11"/>
    <xf numFmtId="0" fontId="61" fillId="41" borderId="11">
      <alignment horizontal="right" vertical="center"/>
    </xf>
    <xf numFmtId="0" fontId="61" fillId="41" borderId="28">
      <alignment horizontal="right" vertical="center"/>
    </xf>
    <xf numFmtId="0" fontId="63" fillId="0" borderId="28">
      <alignment horizontal="right" vertical="center"/>
    </xf>
    <xf numFmtId="4" fontId="7" fillId="0" borderId="0"/>
    <xf numFmtId="0" fontId="61" fillId="2" borderId="39">
      <alignment horizontal="right" vertical="center"/>
    </xf>
    <xf numFmtId="0" fontId="61" fillId="2" borderId="28">
      <alignment horizontal="right" vertical="center"/>
    </xf>
    <xf numFmtId="0" fontId="61" fillId="2" borderId="19">
      <alignment horizontal="right" vertical="center"/>
    </xf>
    <xf numFmtId="4" fontId="61" fillId="2" borderId="20">
      <alignment horizontal="right" vertical="center"/>
    </xf>
    <xf numFmtId="0" fontId="63" fillId="0" borderId="0"/>
    <xf numFmtId="0" fontId="63" fillId="45" borderId="11">
      <alignment horizontal="right" vertical="center"/>
    </xf>
    <xf numFmtId="0" fontId="63" fillId="45" borderId="0" applyBorder="0">
      <alignment horizontal="right" vertical="center"/>
    </xf>
    <xf numFmtId="0" fontId="7" fillId="0" borderId="0"/>
    <xf numFmtId="0" fontId="7" fillId="44" borderId="11"/>
    <xf numFmtId="4" fontId="7" fillId="0" borderId="0"/>
    <xf numFmtId="4" fontId="63" fillId="0" borderId="11" applyFill="0" applyBorder="0" applyProtection="0">
      <alignment horizontal="right" vertical="center"/>
    </xf>
    <xf numFmtId="0" fontId="68" fillId="0" borderId="0" applyNumberFormat="0" applyFill="0" applyBorder="0" applyAlignment="0" applyProtection="0"/>
    <xf numFmtId="0" fontId="63" fillId="0" borderId="0"/>
    <xf numFmtId="4" fontId="7" fillId="0" borderId="0"/>
    <xf numFmtId="4" fontId="7" fillId="0" borderId="0"/>
    <xf numFmtId="0" fontId="1" fillId="0" borderId="0"/>
    <xf numFmtId="0" fontId="69" fillId="0" borderId="0" applyNumberFormat="0" applyFill="0" applyBorder="0" applyAlignment="0" applyProtection="0"/>
    <xf numFmtId="0" fontId="63" fillId="42" borderId="11"/>
    <xf numFmtId="0" fontId="61" fillId="2" borderId="20">
      <alignment horizontal="right" vertical="center"/>
    </xf>
    <xf numFmtId="0" fontId="88" fillId="51" borderId="161" applyNumberFormat="0" applyAlignment="0" applyProtection="0"/>
    <xf numFmtId="0" fontId="79" fillId="51" borderId="161" applyNumberFormat="0" applyAlignment="0" applyProtection="0"/>
    <xf numFmtId="0" fontId="70" fillId="67" borderId="163" applyNumberFormat="0" applyFont="0" applyAlignment="0" applyProtection="0"/>
    <xf numFmtId="0" fontId="63" fillId="0" borderId="164" applyNumberFormat="0" applyFill="0" applyAlignment="0" applyProtection="0"/>
    <xf numFmtId="0" fontId="54" fillId="22" borderId="144" applyNumberFormat="0" applyAlignment="0" applyProtection="0"/>
    <xf numFmtId="0" fontId="55" fillId="22" borderId="143" applyNumberFormat="0" applyAlignment="0" applyProtection="0"/>
    <xf numFmtId="0" fontId="95" fillId="0" borderId="162" applyNumberFormat="0" applyFill="0" applyAlignment="0" applyProtection="0"/>
    <xf numFmtId="0" fontId="56" fillId="0" borderId="0" applyNumberFormat="0" applyFill="0" applyBorder="0" applyAlignment="0" applyProtection="0"/>
    <xf numFmtId="0" fontId="63" fillId="0" borderId="164">
      <alignment horizontal="right" vertical="center"/>
    </xf>
    <xf numFmtId="0" fontId="57" fillId="0" borderId="0" applyNumberFormat="0" applyFill="0" applyBorder="0" applyAlignment="0" applyProtection="0"/>
    <xf numFmtId="0" fontId="58" fillId="0" borderId="145" applyNumberFormat="0" applyFill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59" fillId="40" borderId="0" applyNumberFormat="0" applyBorder="0" applyAlignment="0" applyProtection="0"/>
    <xf numFmtId="0" fontId="63" fillId="0" borderId="11" applyNumberFormat="0" applyFill="0" applyAlignment="0" applyProtection="0"/>
    <xf numFmtId="0" fontId="61" fillId="2" borderId="11">
      <alignment horizontal="right" vertical="center"/>
    </xf>
    <xf numFmtId="0" fontId="61" fillId="2" borderId="11">
      <alignment horizontal="right" vertical="center"/>
    </xf>
    <xf numFmtId="0" fontId="63" fillId="0" borderId="48">
      <alignment horizontal="left" vertical="center" wrapText="1" indent="2"/>
    </xf>
    <xf numFmtId="0" fontId="61" fillId="2" borderId="20">
      <alignment horizontal="right" vertical="center"/>
    </xf>
    <xf numFmtId="0" fontId="63" fillId="0" borderId="11">
      <alignment horizontal="right" vertical="center"/>
    </xf>
    <xf numFmtId="0" fontId="65" fillId="41" borderId="11">
      <alignment horizontal="right" vertical="center"/>
    </xf>
    <xf numFmtId="0" fontId="63" fillId="42" borderId="11"/>
    <xf numFmtId="0" fontId="61" fillId="41" borderId="11">
      <alignment horizontal="right" vertical="center"/>
    </xf>
    <xf numFmtId="0" fontId="61" fillId="2" borderId="19">
      <alignment horizontal="right" vertical="center"/>
    </xf>
    <xf numFmtId="0" fontId="67" fillId="0" borderId="0" applyNumberFormat="0" applyFill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" fillId="0" borderId="0" applyNumberFormat="0" applyFont="0" applyFill="0" applyBorder="0" applyProtection="0">
      <alignment horizontal="left" vertical="center" indent="2"/>
    </xf>
    <xf numFmtId="0" fontId="7" fillId="0" borderId="0" applyNumberFormat="0" applyFont="0" applyFill="0" applyBorder="0" applyProtection="0">
      <alignment horizontal="left" vertical="center" indent="2"/>
    </xf>
    <xf numFmtId="49" fontId="63" fillId="0" borderId="11" applyNumberFormat="0" applyFont="0" applyFill="0" applyBorder="0" applyProtection="0">
      <alignment horizontal="left" vertical="center" indent="2"/>
    </xf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" fillId="0" borderId="0" applyNumberFormat="0" applyFont="0" applyFill="0" applyBorder="0" applyProtection="0">
      <alignment horizontal="left" vertical="center" indent="5"/>
    </xf>
    <xf numFmtId="0" fontId="7" fillId="0" borderId="0" applyNumberFormat="0" applyFont="0" applyFill="0" applyBorder="0" applyProtection="0">
      <alignment horizontal="left" vertical="center" indent="5"/>
    </xf>
    <xf numFmtId="49" fontId="63" fillId="0" borderId="19" applyNumberFormat="0" applyFont="0" applyFill="0" applyBorder="0" applyProtection="0">
      <alignment horizontal="left" vertical="center" indent="5"/>
    </xf>
    <xf numFmtId="0" fontId="72" fillId="56" borderId="0" applyNumberFormat="0" applyBorder="0" applyAlignment="0" applyProtection="0"/>
    <xf numFmtId="0" fontId="72" fillId="53" borderId="0" applyNumberFormat="0" applyBorder="0" applyAlignment="0" applyProtection="0"/>
    <xf numFmtId="0" fontId="72" fillId="54" borderId="0" applyNumberFormat="0" applyBorder="0" applyAlignment="0" applyProtection="0"/>
    <xf numFmtId="0" fontId="72" fillId="57" borderId="0" applyNumberFormat="0" applyBorder="0" applyAlignment="0" applyProtection="0"/>
    <xf numFmtId="0" fontId="72" fillId="58" borderId="0" applyNumberFormat="0" applyBorder="0" applyAlignment="0" applyProtection="0"/>
    <xf numFmtId="0" fontId="72" fillId="59" borderId="0" applyNumberFormat="0" applyBorder="0" applyAlignment="0" applyProtection="0"/>
    <xf numFmtId="0" fontId="72" fillId="60" borderId="0" applyNumberFormat="0" applyBorder="0" applyAlignment="0" applyProtection="0"/>
    <xf numFmtId="0" fontId="72" fillId="61" borderId="0" applyNumberFormat="0" applyBorder="0" applyAlignment="0" applyProtection="0"/>
    <xf numFmtId="0" fontId="72" fillId="62" borderId="0" applyNumberFormat="0" applyBorder="0" applyAlignment="0" applyProtection="0"/>
    <xf numFmtId="0" fontId="72" fillId="57" borderId="0" applyNumberFormat="0" applyBorder="0" applyAlignment="0" applyProtection="0"/>
    <xf numFmtId="0" fontId="72" fillId="58" borderId="0" applyNumberFormat="0" applyBorder="0" applyAlignment="0" applyProtection="0"/>
    <xf numFmtId="0" fontId="72" fillId="63" borderId="0" applyNumberFormat="0" applyBorder="0" applyAlignment="0" applyProtection="0"/>
    <xf numFmtId="0" fontId="62" fillId="45" borderId="0" applyBorder="0" applyAlignment="0"/>
    <xf numFmtId="4" fontId="62" fillId="45" borderId="0" applyBorder="0" applyAlignment="0"/>
    <xf numFmtId="4" fontId="63" fillId="45" borderId="0" applyBorder="0">
      <alignment horizontal="right" vertical="center"/>
    </xf>
    <xf numFmtId="4" fontId="63" fillId="41" borderId="0" applyBorder="0">
      <alignment horizontal="right" vertical="center"/>
    </xf>
    <xf numFmtId="4" fontId="63" fillId="41" borderId="0" applyBorder="0">
      <alignment horizontal="right" vertical="center"/>
    </xf>
    <xf numFmtId="4" fontId="61" fillId="41" borderId="11">
      <alignment horizontal="right" vertical="center"/>
    </xf>
    <xf numFmtId="4" fontId="65" fillId="41" borderId="11">
      <alignment horizontal="right" vertical="center"/>
    </xf>
    <xf numFmtId="4" fontId="61" fillId="2" borderId="11">
      <alignment horizontal="right" vertical="center"/>
    </xf>
    <xf numFmtId="4" fontId="61" fillId="2" borderId="11">
      <alignment horizontal="right" vertical="center"/>
    </xf>
    <xf numFmtId="4" fontId="61" fillId="2" borderId="19">
      <alignment horizontal="right" vertical="center"/>
    </xf>
    <xf numFmtId="4" fontId="61" fillId="2" borderId="20">
      <alignment horizontal="right" vertical="center"/>
    </xf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7" borderId="0" applyNumberFormat="0" applyBorder="0" applyAlignment="0" applyProtection="0"/>
    <xf numFmtId="0" fontId="71" fillId="58" borderId="0" applyNumberFormat="0" applyBorder="0" applyAlignment="0" applyProtection="0"/>
    <xf numFmtId="0" fontId="71" fillId="63" borderId="0" applyNumberFormat="0" applyBorder="0" applyAlignment="0" applyProtection="0"/>
    <xf numFmtId="0" fontId="74" fillId="47" borderId="0" applyNumberFormat="0" applyBorder="0" applyAlignment="0" applyProtection="0"/>
    <xf numFmtId="4" fontId="62" fillId="0" borderId="43" applyFill="0" applyBorder="0" applyProtection="0">
      <alignment horizontal="right" vertical="center"/>
    </xf>
    <xf numFmtId="0" fontId="76" fillId="64" borderId="148" applyNumberFormat="0" applyAlignment="0" applyProtection="0"/>
    <xf numFmtId="0" fontId="77" fillId="65" borderId="149" applyNumberFormat="0" applyAlignment="0" applyProtection="0"/>
    <xf numFmtId="164" fontId="66" fillId="0" borderId="0" applyFont="0" applyFill="0" applyBorder="0" applyAlignment="0" applyProtection="0"/>
    <xf numFmtId="180" fontId="78" fillId="0" borderId="0" applyFont="0" applyFill="0" applyBorder="0" applyAlignment="0" applyProtection="0"/>
    <xf numFmtId="164" fontId="66" fillId="0" borderId="0" applyFont="0" applyFill="0" applyBorder="0" applyAlignment="0" applyProtection="0"/>
    <xf numFmtId="0" fontId="63" fillId="2" borderId="48">
      <alignment horizontal="left" vertical="center" wrapText="1" indent="2"/>
    </xf>
    <xf numFmtId="0" fontId="63" fillId="41" borderId="19">
      <alignment horizontal="left" vertical="center"/>
    </xf>
    <xf numFmtId="0" fontId="82" fillId="0" borderId="0" applyNumberFormat="0" applyFill="0" applyBorder="0" applyAlignment="0" applyProtection="0"/>
    <xf numFmtId="0" fontId="83" fillId="48" borderId="0" applyNumberFormat="0" applyBorder="0" applyAlignment="0" applyProtection="0"/>
    <xf numFmtId="0" fontId="84" fillId="48" borderId="0" applyNumberFormat="0" applyBorder="0" applyAlignment="0" applyProtection="0"/>
    <xf numFmtId="0" fontId="85" fillId="0" borderId="151" applyNumberFormat="0" applyFill="0" applyAlignment="0" applyProtection="0"/>
    <xf numFmtId="0" fontId="86" fillId="0" borderId="152" applyNumberFormat="0" applyFill="0" applyAlignment="0" applyProtection="0"/>
    <xf numFmtId="0" fontId="87" fillId="0" borderId="153" applyNumberFormat="0" applyFill="0" applyAlignment="0" applyProtection="0"/>
    <xf numFmtId="0" fontId="87" fillId="0" borderId="0" applyNumberFormat="0" applyFill="0" applyBorder="0" applyAlignment="0" applyProtection="0"/>
    <xf numFmtId="0" fontId="88" fillId="51" borderId="148" applyNumberFormat="0" applyAlignment="0" applyProtection="0"/>
    <xf numFmtId="4" fontId="63" fillId="0" borderId="0" applyBorder="0">
      <alignment horizontal="right" vertical="center"/>
    </xf>
    <xf numFmtId="0" fontId="63" fillId="0" borderId="56">
      <alignment horizontal="right" vertical="center"/>
    </xf>
    <xf numFmtId="4" fontId="63" fillId="0" borderId="11">
      <alignment horizontal="right" vertical="center"/>
    </xf>
    <xf numFmtId="1" fontId="64" fillId="41" borderId="0" applyBorder="0">
      <alignment horizontal="right" vertical="center"/>
    </xf>
    <xf numFmtId="0" fontId="89" fillId="0" borderId="154" applyNumberFormat="0" applyFill="0" applyAlignment="0" applyProtection="0"/>
    <xf numFmtId="0" fontId="90" fillId="6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4" fontId="9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4" fontId="63" fillId="0" borderId="0" applyFill="0" applyBorder="0" applyProtection="0">
      <alignment horizontal="right" vertical="center"/>
    </xf>
    <xf numFmtId="4" fontId="63" fillId="0" borderId="0" applyFill="0" applyBorder="0" applyProtection="0">
      <alignment horizontal="right" vertical="center"/>
    </xf>
    <xf numFmtId="4" fontId="63" fillId="0" borderId="11" applyFill="0" applyBorder="0" applyProtection="0">
      <alignment horizontal="right" vertical="center"/>
    </xf>
    <xf numFmtId="0" fontId="62" fillId="0" borderId="0" applyNumberFormat="0" applyFill="0" applyBorder="0" applyProtection="0">
      <alignment horizontal="left" vertical="center"/>
    </xf>
    <xf numFmtId="49" fontId="62" fillId="0" borderId="11" applyNumberFormat="0" applyFill="0" applyBorder="0" applyProtection="0">
      <alignment horizontal="left" vertical="center"/>
    </xf>
    <xf numFmtId="0" fontId="7" fillId="42" borderId="0" applyNumberFormat="0" applyFont="0" applyBorder="0" applyAlignment="0" applyProtection="0"/>
    <xf numFmtId="4" fontId="7" fillId="42" borderId="0" applyNumberFormat="0" applyFont="0" applyBorder="0" applyAlignment="0" applyProtection="0"/>
    <xf numFmtId="4" fontId="7" fillId="42" borderId="0" applyNumberFormat="0" applyFont="0" applyBorder="0" applyAlignment="0" applyProtection="0"/>
    <xf numFmtId="0" fontId="7" fillId="42" borderId="0" applyNumberFormat="0" applyFont="0" applyBorder="0" applyAlignment="0" applyProtection="0"/>
    <xf numFmtId="0" fontId="7" fillId="42" borderId="0" applyNumberFormat="0" applyFont="0" applyBorder="0" applyAlignment="0" applyProtection="0"/>
    <xf numFmtId="0" fontId="78" fillId="43" borderId="0" applyNumberFormat="0" applyFont="0" applyBorder="0" applyAlignment="0" applyProtection="0"/>
    <xf numFmtId="0" fontId="70" fillId="67" borderId="155" applyNumberFormat="0" applyFont="0" applyAlignment="0" applyProtection="0"/>
    <xf numFmtId="0" fontId="7" fillId="67" borderId="155" applyNumberFormat="0" applyFont="0" applyAlignment="0" applyProtection="0"/>
    <xf numFmtId="0" fontId="92" fillId="64" borderId="147" applyNumberFormat="0" applyAlignment="0" applyProtection="0"/>
    <xf numFmtId="170" fontId="63" fillId="68" borderId="11" applyNumberFormat="0" applyFont="0" applyBorder="0" applyAlignment="0" applyProtection="0">
      <alignment horizontal="right" vertical="center"/>
    </xf>
    <xf numFmtId="9" fontId="78" fillId="0" borderId="0" applyFont="0" applyFill="0" applyBorder="0" applyAlignment="0" applyProtection="0"/>
    <xf numFmtId="0" fontId="93" fillId="47" borderId="0" applyNumberFormat="0" applyBorder="0" applyAlignment="0" applyProtection="0"/>
    <xf numFmtId="4" fontId="63" fillId="42" borderId="11"/>
    <xf numFmtId="0" fontId="63" fillId="42" borderId="28"/>
    <xf numFmtId="0" fontId="94" fillId="0" borderId="0" applyNumberFormat="0" applyFill="0" applyBorder="0" applyAlignment="0" applyProtection="0"/>
    <xf numFmtId="0" fontId="95" fillId="0" borderId="150" applyNumberFormat="0" applyFill="0" applyAlignment="0" applyProtection="0"/>
    <xf numFmtId="0" fontId="96" fillId="0" borderId="0" applyNumberFormat="0" applyFill="0" applyBorder="0" applyAlignment="0" applyProtection="0"/>
    <xf numFmtId="0" fontId="97" fillId="0" borderId="151" applyNumberFormat="0" applyFill="0" applyAlignment="0" applyProtection="0"/>
    <xf numFmtId="0" fontId="98" fillId="0" borderId="152" applyNumberFormat="0" applyFill="0" applyAlignment="0" applyProtection="0"/>
    <xf numFmtId="0" fontId="99" fillId="0" borderId="153" applyNumberFormat="0" applyFill="0" applyAlignment="0" applyProtection="0"/>
    <xf numFmtId="0" fontId="99" fillId="0" borderId="0" applyNumberFormat="0" applyFill="0" applyBorder="0" applyAlignment="0" applyProtection="0"/>
    <xf numFmtId="0" fontId="100" fillId="0" borderId="154" applyNumberFormat="0" applyFill="0" applyAlignment="0" applyProtection="0"/>
    <xf numFmtId="0" fontId="102" fillId="0" borderId="0" applyNumberFormat="0" applyFill="0" applyBorder="0" applyAlignment="0" applyProtection="0"/>
    <xf numFmtId="0" fontId="103" fillId="65" borderId="149" applyNumberFormat="0" applyAlignment="0" applyProtection="0"/>
    <xf numFmtId="0" fontId="6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" fillId="0" borderId="0" applyNumberFormat="0" applyFont="0" applyFill="0" applyBorder="0" applyProtection="0">
      <alignment horizontal="left" vertical="center"/>
    </xf>
    <xf numFmtId="0" fontId="63" fillId="41" borderId="0" applyBorder="0">
      <alignment horizontal="right" vertical="center"/>
    </xf>
    <xf numFmtId="0" fontId="63" fillId="41" borderId="0" applyBorder="0">
      <alignment horizontal="right" vertical="center"/>
    </xf>
    <xf numFmtId="0" fontId="63" fillId="0" borderId="0" applyBorder="0">
      <alignment horizontal="right" vertical="center"/>
    </xf>
    <xf numFmtId="4" fontId="7" fillId="0" borderId="0"/>
    <xf numFmtId="0" fontId="105" fillId="0" borderId="0"/>
    <xf numFmtId="0" fontId="7" fillId="42" borderId="0" applyNumberFormat="0" applyFont="0" applyBorder="0" applyAlignment="0" applyProtection="0"/>
    <xf numFmtId="0" fontId="68" fillId="0" borderId="0" applyNumberFormat="0" applyFill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2" fillId="56" borderId="0" applyNumberFormat="0" applyBorder="0" applyAlignment="0" applyProtection="0"/>
    <xf numFmtId="0" fontId="72" fillId="53" borderId="0" applyNumberFormat="0" applyBorder="0" applyAlignment="0" applyProtection="0"/>
    <xf numFmtId="0" fontId="72" fillId="54" borderId="0" applyNumberFormat="0" applyBorder="0" applyAlignment="0" applyProtection="0"/>
    <xf numFmtId="0" fontId="72" fillId="57" borderId="0" applyNumberFormat="0" applyBorder="0" applyAlignment="0" applyProtection="0"/>
    <xf numFmtId="0" fontId="72" fillId="58" borderId="0" applyNumberFormat="0" applyBorder="0" applyAlignment="0" applyProtection="0"/>
    <xf numFmtId="0" fontId="72" fillId="59" borderId="0" applyNumberFormat="0" applyBorder="0" applyAlignment="0" applyProtection="0"/>
    <xf numFmtId="0" fontId="72" fillId="60" borderId="0" applyNumberFormat="0" applyBorder="0" applyAlignment="0" applyProtection="0"/>
    <xf numFmtId="0" fontId="72" fillId="61" borderId="0" applyNumberFormat="0" applyBorder="0" applyAlignment="0" applyProtection="0"/>
    <xf numFmtId="0" fontId="72" fillId="62" borderId="0" applyNumberFormat="0" applyBorder="0" applyAlignment="0" applyProtection="0"/>
    <xf numFmtId="0" fontId="72" fillId="57" borderId="0" applyNumberFormat="0" applyBorder="0" applyAlignment="0" applyProtection="0"/>
    <xf numFmtId="0" fontId="72" fillId="58" borderId="0" applyNumberFormat="0" applyBorder="0" applyAlignment="0" applyProtection="0"/>
    <xf numFmtId="0" fontId="72" fillId="63" borderId="0" applyNumberFormat="0" applyBorder="0" applyAlignment="0" applyProtection="0"/>
    <xf numFmtId="0" fontId="74" fillId="47" borderId="0" applyNumberFormat="0" applyBorder="0" applyAlignment="0" applyProtection="0"/>
    <xf numFmtId="0" fontId="76" fillId="64" borderId="148" applyNumberFormat="0" applyAlignment="0" applyProtection="0"/>
    <xf numFmtId="0" fontId="77" fillId="65" borderId="149" applyNumberFormat="0" applyAlignment="0" applyProtection="0"/>
    <xf numFmtId="0" fontId="82" fillId="0" borderId="0" applyNumberFormat="0" applyFill="0" applyBorder="0" applyAlignment="0" applyProtection="0"/>
    <xf numFmtId="0" fontId="83" fillId="48" borderId="0" applyNumberFormat="0" applyBorder="0" applyAlignment="0" applyProtection="0"/>
    <xf numFmtId="0" fontId="85" fillId="0" borderId="151" applyNumberFormat="0" applyFill="0" applyAlignment="0" applyProtection="0"/>
    <xf numFmtId="0" fontId="86" fillId="0" borderId="152" applyNumberFormat="0" applyFill="0" applyAlignment="0" applyProtection="0"/>
    <xf numFmtId="0" fontId="87" fillId="0" borderId="153" applyNumberFormat="0" applyFill="0" applyAlignment="0" applyProtection="0"/>
    <xf numFmtId="0" fontId="87" fillId="0" borderId="0" applyNumberFormat="0" applyFill="0" applyBorder="0" applyAlignment="0" applyProtection="0"/>
    <xf numFmtId="0" fontId="88" fillId="51" borderId="148" applyNumberFormat="0" applyAlignment="0" applyProtection="0"/>
    <xf numFmtId="0" fontId="89" fillId="0" borderId="154" applyNumberFormat="0" applyFill="0" applyAlignment="0" applyProtection="0"/>
    <xf numFmtId="0" fontId="90" fillId="66" borderId="0" applyNumberFormat="0" applyBorder="0" applyAlignment="0" applyProtection="0"/>
    <xf numFmtId="0" fontId="7" fillId="0" borderId="0"/>
    <xf numFmtId="0" fontId="70" fillId="67" borderId="155" applyNumberFormat="0" applyFont="0" applyAlignment="0" applyProtection="0"/>
    <xf numFmtId="0" fontId="92" fillId="64" borderId="147" applyNumberFormat="0" applyAlignment="0" applyProtection="0"/>
    <xf numFmtId="0" fontId="94" fillId="0" borderId="0" applyNumberFormat="0" applyFill="0" applyBorder="0" applyAlignment="0" applyProtection="0"/>
    <xf numFmtId="0" fontId="95" fillId="0" borderId="150" applyNumberFormat="0" applyFill="0" applyAlignment="0" applyProtection="0"/>
    <xf numFmtId="0" fontId="102" fillId="0" borderId="0" applyNumberFormat="0" applyFill="0" applyBorder="0" applyAlignment="0" applyProtection="0"/>
    <xf numFmtId="0" fontId="106" fillId="0" borderId="0">
      <alignment horizontal="left" vertical="center" indent="1"/>
    </xf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2" borderId="0" applyNumberFormat="0" applyBorder="0" applyAlignment="0" applyProtection="0"/>
    <xf numFmtId="0" fontId="70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49" borderId="0" applyNumberFormat="0" applyBorder="0" applyAlignment="0" applyProtection="0"/>
    <xf numFmtId="0" fontId="70" fillId="52" borderId="0" applyNumberFormat="0" applyBorder="0" applyAlignment="0" applyProtection="0"/>
    <xf numFmtId="0" fontId="70" fillId="55" borderId="0" applyNumberFormat="0" applyBorder="0" applyAlignment="0" applyProtection="0"/>
    <xf numFmtId="0" fontId="72" fillId="56" borderId="0" applyNumberFormat="0" applyBorder="0" applyAlignment="0" applyProtection="0"/>
    <xf numFmtId="0" fontId="72" fillId="53" borderId="0" applyNumberFormat="0" applyBorder="0" applyAlignment="0" applyProtection="0"/>
    <xf numFmtId="0" fontId="72" fillId="54" borderId="0" applyNumberFormat="0" applyBorder="0" applyAlignment="0" applyProtection="0"/>
    <xf numFmtId="0" fontId="72" fillId="57" borderId="0" applyNumberFormat="0" applyBorder="0" applyAlignment="0" applyProtection="0"/>
    <xf numFmtId="0" fontId="72" fillId="58" borderId="0" applyNumberFormat="0" applyBorder="0" applyAlignment="0" applyProtection="0"/>
    <xf numFmtId="0" fontId="72" fillId="59" borderId="0" applyNumberFormat="0" applyBorder="0" applyAlignment="0" applyProtection="0"/>
    <xf numFmtId="0" fontId="61" fillId="41" borderId="156">
      <alignment horizontal="right" vertical="center"/>
    </xf>
    <xf numFmtId="4" fontId="61" fillId="41" borderId="156">
      <alignment horizontal="right" vertical="center"/>
    </xf>
    <xf numFmtId="0" fontId="65" fillId="41" borderId="156">
      <alignment horizontal="right" vertical="center"/>
    </xf>
    <xf numFmtId="4" fontId="65" fillId="41" borderId="156">
      <alignment horizontal="right" vertical="center"/>
    </xf>
    <xf numFmtId="0" fontId="61" fillId="2" borderId="156">
      <alignment horizontal="right" vertical="center"/>
    </xf>
    <xf numFmtId="4" fontId="61" fillId="2" borderId="156">
      <alignment horizontal="right" vertical="center"/>
    </xf>
    <xf numFmtId="0" fontId="61" fillId="2" borderId="156">
      <alignment horizontal="right" vertical="center"/>
    </xf>
    <xf numFmtId="4" fontId="61" fillId="2" borderId="156">
      <alignment horizontal="right" vertical="center"/>
    </xf>
    <xf numFmtId="0" fontId="61" fillId="2" borderId="157">
      <alignment horizontal="right" vertical="center"/>
    </xf>
    <xf numFmtId="4" fontId="61" fillId="2" borderId="157">
      <alignment horizontal="right" vertical="center"/>
    </xf>
    <xf numFmtId="0" fontId="61" fillId="2" borderId="158">
      <alignment horizontal="right" vertical="center"/>
    </xf>
    <xf numFmtId="4" fontId="61" fillId="2" borderId="158">
      <alignment horizontal="right" vertical="center"/>
    </xf>
    <xf numFmtId="0" fontId="76" fillId="64" borderId="148" applyNumberFormat="0" applyAlignment="0" applyProtection="0"/>
    <xf numFmtId="0" fontId="63" fillId="2" borderId="159">
      <alignment horizontal="left" vertical="center" wrapText="1" indent="2"/>
    </xf>
    <xf numFmtId="0" fontId="63" fillId="0" borderId="159">
      <alignment horizontal="left" vertical="center" wrapText="1" indent="2"/>
    </xf>
    <xf numFmtId="0" fontId="63" fillId="41" borderId="157">
      <alignment horizontal="left" vertical="center"/>
    </xf>
    <xf numFmtId="0" fontId="82" fillId="0" borderId="0" applyNumberFormat="0" applyFill="0" applyBorder="0" applyAlignment="0" applyProtection="0"/>
    <xf numFmtId="0" fontId="88" fillId="51" borderId="148" applyNumberFormat="0" applyAlignment="0" applyProtection="0"/>
    <xf numFmtId="0" fontId="63" fillId="0" borderId="156">
      <alignment horizontal="right" vertical="center"/>
    </xf>
    <xf numFmtId="4" fontId="63" fillId="0" borderId="156">
      <alignment horizontal="right" vertical="center"/>
    </xf>
    <xf numFmtId="0" fontId="1" fillId="0" borderId="0"/>
    <xf numFmtId="0" fontId="63" fillId="0" borderId="156" applyNumberFormat="0" applyFill="0" applyAlignment="0" applyProtection="0"/>
    <xf numFmtId="0" fontId="92" fillId="64" borderId="147" applyNumberFormat="0" applyAlignment="0" applyProtection="0"/>
    <xf numFmtId="170" fontId="63" fillId="68" borderId="156" applyNumberFormat="0" applyFont="0" applyBorder="0" applyAlignment="0" applyProtection="0">
      <alignment horizontal="right" vertical="center"/>
    </xf>
    <xf numFmtId="0" fontId="63" fillId="42" borderId="156"/>
    <xf numFmtId="4" fontId="63" fillId="42" borderId="156"/>
    <xf numFmtId="0" fontId="95" fillId="0" borderId="150" applyNumberFormat="0" applyFill="0" applyAlignment="0" applyProtection="0"/>
    <xf numFmtId="0" fontId="10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21" borderId="143" applyNumberFormat="0" applyAlignment="0" applyProtection="0"/>
    <xf numFmtId="0" fontId="63" fillId="41" borderId="0" applyBorder="0">
      <alignment horizontal="right" vertical="center"/>
    </xf>
    <xf numFmtId="0" fontId="63" fillId="41" borderId="0" applyBorder="0">
      <alignment horizontal="right" vertical="center"/>
    </xf>
    <xf numFmtId="0" fontId="63" fillId="0" borderId="0" applyBorder="0">
      <alignment horizontal="right" vertical="center"/>
    </xf>
    <xf numFmtId="0" fontId="7" fillId="0" borderId="0"/>
    <xf numFmtId="49" fontId="63" fillId="0" borderId="156" applyNumberFormat="0" applyFont="0" applyFill="0" applyBorder="0" applyProtection="0">
      <alignment horizontal="left" vertical="center" indent="2"/>
    </xf>
    <xf numFmtId="49" fontId="63" fillId="0" borderId="157" applyNumberFormat="0" applyFont="0" applyFill="0" applyBorder="0" applyProtection="0">
      <alignment horizontal="left" vertical="center" indent="5"/>
    </xf>
    <xf numFmtId="0" fontId="71" fillId="60" borderId="0" applyNumberFormat="0" applyBorder="0" applyAlignment="0" applyProtection="0"/>
    <xf numFmtId="0" fontId="71" fillId="61" borderId="0" applyNumberFormat="0" applyBorder="0" applyAlignment="0" applyProtection="0"/>
    <xf numFmtId="0" fontId="71" fillId="62" borderId="0" applyNumberFormat="0" applyBorder="0" applyAlignment="0" applyProtection="0"/>
    <xf numFmtId="0" fontId="71" fillId="57" borderId="0" applyNumberFormat="0" applyBorder="0" applyAlignment="0" applyProtection="0"/>
    <xf numFmtId="0" fontId="71" fillId="58" borderId="0" applyNumberFormat="0" applyBorder="0" applyAlignment="0" applyProtection="0"/>
    <xf numFmtId="0" fontId="71" fillId="63" borderId="0" applyNumberFormat="0" applyBorder="0" applyAlignment="0" applyProtection="0"/>
    <xf numFmtId="0" fontId="84" fillId="48" borderId="0" applyNumberFormat="0" applyBorder="0" applyAlignment="0" applyProtection="0"/>
    <xf numFmtId="4" fontId="7" fillId="0" borderId="0"/>
    <xf numFmtId="0" fontId="7" fillId="0" borderId="0"/>
    <xf numFmtId="0" fontId="1" fillId="0" borderId="0"/>
    <xf numFmtId="4" fontId="63" fillId="0" borderId="156" applyFill="0" applyBorder="0" applyProtection="0">
      <alignment horizontal="right" vertical="center"/>
    </xf>
    <xf numFmtId="49" fontId="62" fillId="0" borderId="156" applyNumberFormat="0" applyFill="0" applyBorder="0" applyProtection="0">
      <alignment horizontal="left" vertical="center"/>
    </xf>
    <xf numFmtId="0" fontId="7" fillId="42" borderId="0" applyNumberFormat="0" applyFont="0" applyBorder="0" applyAlignment="0" applyProtection="0"/>
    <xf numFmtId="0" fontId="93" fillId="47" borderId="0" applyNumberFormat="0" applyBorder="0" applyAlignment="0" applyProtection="0"/>
    <xf numFmtId="0" fontId="97" fillId="0" borderId="151" applyNumberFormat="0" applyFill="0" applyAlignment="0" applyProtection="0"/>
    <xf numFmtId="0" fontId="98" fillId="0" borderId="152" applyNumberFormat="0" applyFill="0" applyAlignment="0" applyProtection="0"/>
    <xf numFmtId="0" fontId="99" fillId="0" borderId="153" applyNumberFormat="0" applyFill="0" applyAlignment="0" applyProtection="0"/>
    <xf numFmtId="0" fontId="99" fillId="0" borderId="0" applyNumberFormat="0" applyFill="0" applyBorder="0" applyAlignment="0" applyProtection="0"/>
    <xf numFmtId="0" fontId="100" fillId="0" borderId="154" applyNumberFormat="0" applyFill="0" applyAlignment="0" applyProtection="0"/>
    <xf numFmtId="0" fontId="103" fillId="65" borderId="149" applyNumberFormat="0" applyAlignment="0" applyProtection="0"/>
    <xf numFmtId="0" fontId="68" fillId="0" borderId="0" applyNumberFormat="0" applyFill="0" applyBorder="0" applyAlignment="0" applyProtection="0"/>
    <xf numFmtId="0" fontId="1" fillId="0" borderId="0"/>
    <xf numFmtId="0" fontId="53" fillId="21" borderId="143" applyNumberFormat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8" borderId="0" applyNumberFormat="0" applyBorder="0" applyAlignment="0" applyProtection="0"/>
    <xf numFmtId="0" fontId="66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66" fillId="52" borderId="0" applyNumberFormat="0" applyBorder="0" applyAlignment="0" applyProtection="0"/>
    <xf numFmtId="0" fontId="66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49" borderId="0" applyNumberFormat="0" applyBorder="0" applyAlignment="0" applyProtection="0"/>
    <xf numFmtId="0" fontId="66" fillId="52" borderId="0" applyNumberFormat="0" applyBorder="0" applyAlignment="0" applyProtection="0"/>
    <xf numFmtId="0" fontId="66" fillId="55" borderId="0" applyNumberFormat="0" applyBorder="0" applyAlignment="0" applyProtection="0"/>
    <xf numFmtId="0" fontId="71" fillId="56" borderId="0" applyNumberFormat="0" applyBorder="0" applyAlignment="0" applyProtection="0"/>
    <xf numFmtId="0" fontId="71" fillId="53" borderId="0" applyNumberFormat="0" applyBorder="0" applyAlignment="0" applyProtection="0"/>
    <xf numFmtId="0" fontId="71" fillId="54" borderId="0" applyNumberFormat="0" applyBorder="0" applyAlignment="0" applyProtection="0"/>
    <xf numFmtId="0" fontId="71" fillId="57" borderId="0" applyNumberFormat="0" applyBorder="0" applyAlignment="0" applyProtection="0"/>
    <xf numFmtId="0" fontId="71" fillId="58" borderId="0" applyNumberFormat="0" applyBorder="0" applyAlignment="0" applyProtection="0"/>
    <xf numFmtId="0" fontId="71" fillId="59" borderId="0" applyNumberFormat="0" applyBorder="0" applyAlignment="0" applyProtection="0"/>
    <xf numFmtId="0" fontId="73" fillId="64" borderId="147" applyNumberFormat="0" applyAlignment="0" applyProtection="0"/>
    <xf numFmtId="0" fontId="75" fillId="64" borderId="148" applyNumberFormat="0" applyAlignment="0" applyProtection="0"/>
    <xf numFmtId="0" fontId="80" fillId="0" borderId="150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10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49" fontId="63" fillId="0" borderId="11" applyNumberFormat="0" applyFont="0" applyFill="0" applyBorder="0" applyProtection="0">
      <alignment horizontal="left" vertical="center" indent="2"/>
    </xf>
    <xf numFmtId="49" fontId="63" fillId="0" borderId="19" applyNumberFormat="0" applyFont="0" applyFill="0" applyBorder="0" applyProtection="0">
      <alignment horizontal="left" vertical="center" indent="5"/>
    </xf>
    <xf numFmtId="0" fontId="61" fillId="41" borderId="11">
      <alignment horizontal="right" vertical="center"/>
    </xf>
    <xf numFmtId="4" fontId="61" fillId="41" borderId="11">
      <alignment horizontal="right" vertical="center"/>
    </xf>
    <xf numFmtId="0" fontId="65" fillId="41" borderId="11">
      <alignment horizontal="right" vertical="center"/>
    </xf>
    <xf numFmtId="4" fontId="65" fillId="41" borderId="11">
      <alignment horizontal="right" vertical="center"/>
    </xf>
    <xf numFmtId="0" fontId="61" fillId="2" borderId="11">
      <alignment horizontal="right" vertical="center"/>
    </xf>
    <xf numFmtId="4" fontId="61" fillId="2" borderId="11">
      <alignment horizontal="right" vertical="center"/>
    </xf>
    <xf numFmtId="0" fontId="61" fillId="2" borderId="11">
      <alignment horizontal="right" vertical="center"/>
    </xf>
    <xf numFmtId="4" fontId="61" fillId="2" borderId="11">
      <alignment horizontal="right" vertical="center"/>
    </xf>
    <xf numFmtId="0" fontId="61" fillId="2" borderId="19">
      <alignment horizontal="right" vertical="center"/>
    </xf>
    <xf numFmtId="4" fontId="61" fillId="2" borderId="19">
      <alignment horizontal="right" vertical="center"/>
    </xf>
    <xf numFmtId="0" fontId="61" fillId="2" borderId="20">
      <alignment horizontal="right" vertical="center"/>
    </xf>
    <xf numFmtId="4" fontId="61" fillId="2" borderId="20">
      <alignment horizontal="right" vertical="center"/>
    </xf>
    <xf numFmtId="180" fontId="107" fillId="0" borderId="0" applyFont="0" applyFill="0" applyBorder="0" applyAlignment="0" applyProtection="0"/>
    <xf numFmtId="0" fontId="63" fillId="2" borderId="48">
      <alignment horizontal="left" vertical="center" wrapText="1" indent="2"/>
    </xf>
    <xf numFmtId="0" fontId="63" fillId="0" borderId="48">
      <alignment horizontal="left" vertical="center" wrapText="1" indent="2"/>
    </xf>
    <xf numFmtId="0" fontId="63" fillId="41" borderId="19">
      <alignment horizontal="left" vertical="center"/>
    </xf>
    <xf numFmtId="0" fontId="79" fillId="51" borderId="148" applyNumberFormat="0" applyAlignment="0" applyProtection="0"/>
    <xf numFmtId="0" fontId="63" fillId="0" borderId="11">
      <alignment horizontal="right" vertical="center"/>
    </xf>
    <xf numFmtId="4" fontId="63" fillId="0" borderId="11">
      <alignment horizontal="right" vertical="center"/>
    </xf>
    <xf numFmtId="0" fontId="107" fillId="0" borderId="0"/>
    <xf numFmtId="0" fontId="105" fillId="0" borderId="0"/>
    <xf numFmtId="0" fontId="10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5" fillId="0" borderId="0"/>
    <xf numFmtId="0" fontId="7" fillId="0" borderId="0"/>
    <xf numFmtId="4" fontId="63" fillId="0" borderId="11" applyFill="0" applyBorder="0" applyProtection="0">
      <alignment horizontal="right" vertical="center"/>
    </xf>
    <xf numFmtId="49" fontId="62" fillId="0" borderId="11" applyNumberFormat="0" applyFill="0" applyBorder="0" applyProtection="0">
      <alignment horizontal="left" vertical="center"/>
    </xf>
    <xf numFmtId="0" fontId="63" fillId="0" borderId="11" applyNumberFormat="0" applyFill="0" applyAlignment="0" applyProtection="0"/>
    <xf numFmtId="0" fontId="107" fillId="43" borderId="0" applyNumberFormat="0" applyFont="0" applyBorder="0" applyAlignment="0" applyProtection="0"/>
    <xf numFmtId="170" fontId="63" fillId="68" borderId="11" applyNumberFormat="0" applyFont="0" applyBorder="0" applyAlignment="0" applyProtection="0">
      <alignment horizontal="right" vertical="center"/>
    </xf>
    <xf numFmtId="9" fontId="107" fillId="0" borderId="0" applyFont="0" applyFill="0" applyBorder="0" applyAlignment="0" applyProtection="0"/>
    <xf numFmtId="0" fontId="63" fillId="42" borderId="11"/>
    <xf numFmtId="4" fontId="63" fillId="42" borderId="11"/>
    <xf numFmtId="0" fontId="63" fillId="2" borderId="159">
      <alignment horizontal="left" vertical="center" wrapText="1" indent="2"/>
    </xf>
    <xf numFmtId="0" fontId="63" fillId="0" borderId="159">
      <alignment horizontal="left" vertical="center" wrapText="1" indent="2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2" borderId="48">
      <alignment horizontal="left" vertical="center" wrapText="1" indent="2"/>
    </xf>
    <xf numFmtId="0" fontId="63" fillId="0" borderId="48">
      <alignment horizontal="left" vertical="center" wrapText="1" indent="2"/>
    </xf>
    <xf numFmtId="0" fontId="7" fillId="0" borderId="0"/>
    <xf numFmtId="4" fontId="61" fillId="2" borderId="156">
      <alignment horizontal="right" vertical="center"/>
    </xf>
    <xf numFmtId="0" fontId="63" fillId="42" borderId="156"/>
    <xf numFmtId="0" fontId="75" fillId="64" borderId="148" applyNumberFormat="0" applyAlignment="0" applyProtection="0"/>
    <xf numFmtId="0" fontId="61" fillId="41" borderId="156">
      <alignment horizontal="right" vertical="center"/>
    </xf>
    <xf numFmtId="0" fontId="63" fillId="0" borderId="156">
      <alignment horizontal="right" vertical="center"/>
    </xf>
    <xf numFmtId="0" fontId="95" fillId="0" borderId="150" applyNumberFormat="0" applyFill="0" applyAlignment="0" applyProtection="0"/>
    <xf numFmtId="0" fontId="63" fillId="41" borderId="157">
      <alignment horizontal="left" vertical="center"/>
    </xf>
    <xf numFmtId="0" fontId="88" fillId="51" borderId="148" applyNumberFormat="0" applyAlignment="0" applyProtection="0"/>
    <xf numFmtId="170" fontId="63" fillId="68" borderId="156" applyNumberFormat="0" applyFont="0" applyBorder="0" applyAlignment="0" applyProtection="0">
      <alignment horizontal="right" vertical="center"/>
    </xf>
    <xf numFmtId="0" fontId="70" fillId="67" borderId="155" applyNumberFormat="0" applyFont="0" applyAlignment="0" applyProtection="0"/>
    <xf numFmtId="0" fontId="63" fillId="0" borderId="159">
      <alignment horizontal="left" vertical="center" wrapText="1" indent="2"/>
    </xf>
    <xf numFmtId="4" fontId="63" fillId="42" borderId="156"/>
    <xf numFmtId="49" fontId="62" fillId="0" borderId="156" applyNumberFormat="0" applyFill="0" applyBorder="0" applyProtection="0">
      <alignment horizontal="left" vertical="center"/>
    </xf>
    <xf numFmtId="0" fontId="63" fillId="0" borderId="156">
      <alignment horizontal="right" vertical="center"/>
    </xf>
    <xf numFmtId="4" fontId="61" fillId="2" borderId="158">
      <alignment horizontal="right" vertical="center"/>
    </xf>
    <xf numFmtId="4" fontId="61" fillId="2" borderId="156">
      <alignment horizontal="right" vertical="center"/>
    </xf>
    <xf numFmtId="4" fontId="61" fillId="2" borderId="156">
      <alignment horizontal="right" vertical="center"/>
    </xf>
    <xf numFmtId="0" fontId="65" fillId="41" borderId="156">
      <alignment horizontal="right" vertical="center"/>
    </xf>
    <xf numFmtId="0" fontId="61" fillId="41" borderId="156">
      <alignment horizontal="right" vertical="center"/>
    </xf>
    <xf numFmtId="49" fontId="63" fillId="0" borderId="156" applyNumberFormat="0" applyFont="0" applyFill="0" applyBorder="0" applyProtection="0">
      <alignment horizontal="left" vertical="center" indent="2"/>
    </xf>
    <xf numFmtId="0" fontId="88" fillId="51" borderId="148" applyNumberFormat="0" applyAlignment="0" applyProtection="0"/>
    <xf numFmtId="0" fontId="73" fillId="64" borderId="147" applyNumberFormat="0" applyAlignment="0" applyProtection="0"/>
    <xf numFmtId="49" fontId="63" fillId="0" borderId="156" applyNumberFormat="0" applyFont="0" applyFill="0" applyBorder="0" applyProtection="0">
      <alignment horizontal="left" vertical="center" indent="2"/>
    </xf>
    <xf numFmtId="0" fontId="79" fillId="51" borderId="148" applyNumberFormat="0" applyAlignment="0" applyProtection="0"/>
    <xf numFmtId="4" fontId="63" fillId="0" borderId="156" applyFill="0" applyBorder="0" applyProtection="0">
      <alignment horizontal="right" vertical="center"/>
    </xf>
    <xf numFmtId="0" fontId="76" fillId="64" borderId="148" applyNumberFormat="0" applyAlignment="0" applyProtection="0"/>
    <xf numFmtId="0" fontId="95" fillId="0" borderId="150" applyNumberFormat="0" applyFill="0" applyAlignment="0" applyProtection="0"/>
    <xf numFmtId="0" fontId="92" fillId="64" borderId="147" applyNumberFormat="0" applyAlignment="0" applyProtection="0"/>
    <xf numFmtId="0" fontId="63" fillId="0" borderId="156" applyNumberFormat="0" applyFill="0" applyAlignment="0" applyProtection="0"/>
    <xf numFmtId="4" fontId="63" fillId="0" borderId="156">
      <alignment horizontal="right" vertical="center"/>
    </xf>
    <xf numFmtId="0" fontId="63" fillId="0" borderId="156">
      <alignment horizontal="right" vertical="center"/>
    </xf>
    <xf numFmtId="0" fontId="88" fillId="51" borderId="148" applyNumberFormat="0" applyAlignment="0" applyProtection="0"/>
    <xf numFmtId="0" fontId="73" fillId="64" borderId="147" applyNumberFormat="0" applyAlignment="0" applyProtection="0"/>
    <xf numFmtId="0" fontId="75" fillId="64" borderId="148" applyNumberFormat="0" applyAlignment="0" applyProtection="0"/>
    <xf numFmtId="0" fontId="63" fillId="2" borderId="159">
      <alignment horizontal="left" vertical="center" wrapText="1" indent="2"/>
    </xf>
    <xf numFmtId="0" fontId="76" fillId="64" borderId="148" applyNumberFormat="0" applyAlignment="0" applyProtection="0"/>
    <xf numFmtId="0" fontId="76" fillId="64" borderId="148" applyNumberFormat="0" applyAlignment="0" applyProtection="0"/>
    <xf numFmtId="4" fontId="61" fillId="2" borderId="157">
      <alignment horizontal="right" vertical="center"/>
    </xf>
    <xf numFmtId="0" fontId="61" fillId="2" borderId="157">
      <alignment horizontal="right" vertical="center"/>
    </xf>
    <xf numFmtId="0" fontId="61" fillId="2" borderId="156">
      <alignment horizontal="right" vertical="center"/>
    </xf>
    <xf numFmtId="4" fontId="65" fillId="41" borderId="156">
      <alignment horizontal="right" vertical="center"/>
    </xf>
    <xf numFmtId="0" fontId="79" fillId="51" borderId="148" applyNumberFormat="0" applyAlignment="0" applyProtection="0"/>
    <xf numFmtId="0" fontId="80" fillId="0" borderId="150" applyNumberFormat="0" applyFill="0" applyAlignment="0" applyProtection="0"/>
    <xf numFmtId="0" fontId="95" fillId="0" borderId="150" applyNumberFormat="0" applyFill="0" applyAlignment="0" applyProtection="0"/>
    <xf numFmtId="0" fontId="70" fillId="67" borderId="155" applyNumberFormat="0" applyFont="0" applyAlignment="0" applyProtection="0"/>
    <xf numFmtId="0" fontId="88" fillId="51" borderId="148" applyNumberFormat="0" applyAlignment="0" applyProtection="0"/>
    <xf numFmtId="49" fontId="62" fillId="0" borderId="156" applyNumberFormat="0" applyFill="0" applyBorder="0" applyProtection="0">
      <alignment horizontal="left" vertical="center"/>
    </xf>
    <xf numFmtId="0" fontId="63" fillId="2" borderId="159">
      <alignment horizontal="left" vertical="center" wrapText="1" indent="2"/>
    </xf>
    <xf numFmtId="0" fontId="76" fillId="64" borderId="148" applyNumberFormat="0" applyAlignment="0" applyProtection="0"/>
    <xf numFmtId="0" fontId="63" fillId="0" borderId="159">
      <alignment horizontal="left" vertical="center" wrapText="1" indent="2"/>
    </xf>
    <xf numFmtId="0" fontId="70" fillId="67" borderId="155" applyNumberFormat="0" applyFont="0" applyAlignment="0" applyProtection="0"/>
    <xf numFmtId="0" fontId="7" fillId="67" borderId="155" applyNumberFormat="0" applyFont="0" applyAlignment="0" applyProtection="0"/>
    <xf numFmtId="0" fontId="92" fillId="64" borderId="147" applyNumberFormat="0" applyAlignment="0" applyProtection="0"/>
    <xf numFmtId="0" fontId="95" fillId="0" borderId="150" applyNumberFormat="0" applyFill="0" applyAlignment="0" applyProtection="0"/>
    <xf numFmtId="4" fontId="63" fillId="42" borderId="156"/>
    <xf numFmtId="0" fontId="61" fillId="2" borderId="156">
      <alignment horizontal="right" vertical="center"/>
    </xf>
    <xf numFmtId="0" fontId="95" fillId="0" borderId="150" applyNumberFormat="0" applyFill="0" applyAlignment="0" applyProtection="0"/>
    <xf numFmtId="4" fontId="61" fillId="2" borderId="158">
      <alignment horizontal="right" vertical="center"/>
    </xf>
    <xf numFmtId="0" fontId="75" fillId="64" borderId="148" applyNumberFormat="0" applyAlignment="0" applyProtection="0"/>
    <xf numFmtId="0" fontId="61" fillId="2" borderId="157">
      <alignment horizontal="right" vertical="center"/>
    </xf>
    <xf numFmtId="0" fontId="76" fillId="64" borderId="148" applyNumberFormat="0" applyAlignment="0" applyProtection="0"/>
    <xf numFmtId="0" fontId="80" fillId="0" borderId="150" applyNumberFormat="0" applyFill="0" applyAlignment="0" applyProtection="0"/>
    <xf numFmtId="0" fontId="70" fillId="67" borderId="155" applyNumberFormat="0" applyFont="0" applyAlignment="0" applyProtection="0"/>
    <xf numFmtId="4" fontId="61" fillId="2" borderId="157">
      <alignment horizontal="right" vertical="center"/>
    </xf>
    <xf numFmtId="0" fontId="63" fillId="2" borderId="159">
      <alignment horizontal="left" vertical="center" wrapText="1" indent="2"/>
    </xf>
    <xf numFmtId="0" fontId="63" fillId="42" borderId="156"/>
    <xf numFmtId="170" fontId="63" fillId="68" borderId="156" applyNumberFormat="0" applyFont="0" applyBorder="0" applyAlignment="0" applyProtection="0">
      <alignment horizontal="right" vertical="center"/>
    </xf>
    <xf numFmtId="0" fontId="63" fillId="0" borderId="156" applyNumberFormat="0" applyFill="0" applyAlignment="0" applyProtection="0"/>
    <xf numFmtId="4" fontId="63" fillId="0" borderId="156" applyFill="0" applyBorder="0" applyProtection="0">
      <alignment horizontal="right" vertical="center"/>
    </xf>
    <xf numFmtId="4" fontId="61" fillId="41" borderId="156">
      <alignment horizontal="right" vertical="center"/>
    </xf>
    <xf numFmtId="0" fontId="80" fillId="0" borderId="150" applyNumberFormat="0" applyFill="0" applyAlignment="0" applyProtection="0"/>
    <xf numFmtId="49" fontId="62" fillId="0" borderId="156" applyNumberFormat="0" applyFill="0" applyBorder="0" applyProtection="0">
      <alignment horizontal="left" vertical="center"/>
    </xf>
    <xf numFmtId="49" fontId="63" fillId="0" borderId="157" applyNumberFormat="0" applyFont="0" applyFill="0" applyBorder="0" applyProtection="0">
      <alignment horizontal="left" vertical="center" indent="5"/>
    </xf>
    <xf numFmtId="0" fontId="63" fillId="41" borderId="157">
      <alignment horizontal="left" vertical="center"/>
    </xf>
    <xf numFmtId="0" fontId="76" fillId="64" borderId="148" applyNumberFormat="0" applyAlignment="0" applyProtection="0"/>
    <xf numFmtId="4" fontId="61" fillId="2" borderId="158">
      <alignment horizontal="right" vertical="center"/>
    </xf>
    <xf numFmtId="0" fontId="88" fillId="51" borderId="148" applyNumberFormat="0" applyAlignment="0" applyProtection="0"/>
    <xf numFmtId="0" fontId="88" fillId="51" borderId="148" applyNumberFormat="0" applyAlignment="0" applyProtection="0"/>
    <xf numFmtId="0" fontId="70" fillId="67" borderId="155" applyNumberFormat="0" applyFont="0" applyAlignment="0" applyProtection="0"/>
    <xf numFmtId="0" fontId="92" fillId="64" borderId="147" applyNumberFormat="0" applyAlignment="0" applyProtection="0"/>
    <xf numFmtId="0" fontId="95" fillId="0" borderId="150" applyNumberFormat="0" applyFill="0" applyAlignment="0" applyProtection="0"/>
    <xf numFmtId="0" fontId="61" fillId="2" borderId="156">
      <alignment horizontal="right" vertical="center"/>
    </xf>
    <xf numFmtId="0" fontId="7" fillId="67" borderId="155" applyNumberFormat="0" applyFont="0" applyAlignment="0" applyProtection="0"/>
    <xf numFmtId="4" fontId="63" fillId="0" borderId="156">
      <alignment horizontal="right" vertical="center"/>
    </xf>
    <xf numFmtId="0" fontId="95" fillId="0" borderId="150" applyNumberFormat="0" applyFill="0" applyAlignment="0" applyProtection="0"/>
    <xf numFmtId="0" fontId="61" fillId="2" borderId="156">
      <alignment horizontal="right" vertical="center"/>
    </xf>
    <xf numFmtId="0" fontId="61" fillId="2" borderId="156">
      <alignment horizontal="right" vertical="center"/>
    </xf>
    <xf numFmtId="4" fontId="65" fillId="41" borderId="156">
      <alignment horizontal="right" vertical="center"/>
    </xf>
    <xf numFmtId="0" fontId="61" fillId="41" borderId="156">
      <alignment horizontal="right" vertical="center"/>
    </xf>
    <xf numFmtId="4" fontId="61" fillId="41" borderId="156">
      <alignment horizontal="right" vertical="center"/>
    </xf>
    <xf numFmtId="0" fontId="65" fillId="41" borderId="156">
      <alignment horizontal="right" vertical="center"/>
    </xf>
    <xf numFmtId="4" fontId="65" fillId="41" borderId="156">
      <alignment horizontal="right" vertical="center"/>
    </xf>
    <xf numFmtId="0" fontId="61" fillId="2" borderId="156">
      <alignment horizontal="right" vertical="center"/>
    </xf>
    <xf numFmtId="4" fontId="61" fillId="2" borderId="156">
      <alignment horizontal="right" vertical="center"/>
    </xf>
    <xf numFmtId="0" fontId="61" fillId="2" borderId="156">
      <alignment horizontal="right" vertical="center"/>
    </xf>
    <xf numFmtId="4" fontId="61" fillId="2" borderId="156">
      <alignment horizontal="right" vertical="center"/>
    </xf>
    <xf numFmtId="0" fontId="61" fillId="2" borderId="157">
      <alignment horizontal="right" vertical="center"/>
    </xf>
    <xf numFmtId="4" fontId="61" fillId="2" borderId="157">
      <alignment horizontal="right" vertical="center"/>
    </xf>
    <xf numFmtId="0" fontId="61" fillId="2" borderId="158">
      <alignment horizontal="right" vertical="center"/>
    </xf>
    <xf numFmtId="4" fontId="61" fillId="2" borderId="158">
      <alignment horizontal="right" vertical="center"/>
    </xf>
    <xf numFmtId="0" fontId="76" fillId="64" borderId="148" applyNumberFormat="0" applyAlignment="0" applyProtection="0"/>
    <xf numFmtId="0" fontId="63" fillId="2" borderId="159">
      <alignment horizontal="left" vertical="center" wrapText="1" indent="2"/>
    </xf>
    <xf numFmtId="0" fontId="63" fillId="0" borderId="159">
      <alignment horizontal="left" vertical="center" wrapText="1" indent="2"/>
    </xf>
    <xf numFmtId="0" fontId="63" fillId="41" borderId="157">
      <alignment horizontal="left" vertical="center"/>
    </xf>
    <xf numFmtId="0" fontId="88" fillId="51" borderId="148" applyNumberFormat="0" applyAlignment="0" applyProtection="0"/>
    <xf numFmtId="0" fontId="63" fillId="0" borderId="156">
      <alignment horizontal="right" vertical="center"/>
    </xf>
    <xf numFmtId="4" fontId="63" fillId="0" borderId="156">
      <alignment horizontal="right" vertical="center"/>
    </xf>
    <xf numFmtId="0" fontId="63" fillId="0" borderId="156" applyNumberFormat="0" applyFill="0" applyAlignment="0" applyProtection="0"/>
    <xf numFmtId="0" fontId="92" fillId="64" borderId="147" applyNumberFormat="0" applyAlignment="0" applyProtection="0"/>
    <xf numFmtId="170" fontId="63" fillId="68" borderId="156" applyNumberFormat="0" applyFont="0" applyBorder="0" applyAlignment="0" applyProtection="0">
      <alignment horizontal="right" vertical="center"/>
    </xf>
    <xf numFmtId="0" fontId="63" fillId="42" borderId="156"/>
    <xf numFmtId="4" fontId="63" fillId="42" borderId="156"/>
    <xf numFmtId="0" fontId="95" fillId="0" borderId="150" applyNumberFormat="0" applyFill="0" applyAlignment="0" applyProtection="0"/>
    <xf numFmtId="0" fontId="7" fillId="67" borderId="155" applyNumberFormat="0" applyFont="0" applyAlignment="0" applyProtection="0"/>
    <xf numFmtId="0" fontId="70" fillId="67" borderId="155" applyNumberFormat="0" applyFont="0" applyAlignment="0" applyProtection="0"/>
    <xf numFmtId="0" fontId="63" fillId="0" borderId="156" applyNumberFormat="0" applyFill="0" applyAlignment="0" applyProtection="0"/>
    <xf numFmtId="0" fontId="80" fillId="0" borderId="150" applyNumberFormat="0" applyFill="0" applyAlignment="0" applyProtection="0"/>
    <xf numFmtId="0" fontId="95" fillId="0" borderId="150" applyNumberFormat="0" applyFill="0" applyAlignment="0" applyProtection="0"/>
    <xf numFmtId="0" fontId="79" fillId="51" borderId="148" applyNumberFormat="0" applyAlignment="0" applyProtection="0"/>
    <xf numFmtId="0" fontId="76" fillId="64" borderId="148" applyNumberFormat="0" applyAlignment="0" applyProtection="0"/>
    <xf numFmtId="4" fontId="65" fillId="41" borderId="156">
      <alignment horizontal="right" vertical="center"/>
    </xf>
    <xf numFmtId="0" fontId="61" fillId="41" borderId="156">
      <alignment horizontal="right" vertical="center"/>
    </xf>
    <xf numFmtId="170" fontId="63" fillId="68" borderId="156" applyNumberFormat="0" applyFont="0" applyBorder="0" applyAlignment="0" applyProtection="0">
      <alignment horizontal="right" vertical="center"/>
    </xf>
    <xf numFmtId="0" fontId="80" fillId="0" borderId="150" applyNumberFormat="0" applyFill="0" applyAlignment="0" applyProtection="0"/>
    <xf numFmtId="49" fontId="63" fillId="0" borderId="156" applyNumberFormat="0" applyFont="0" applyFill="0" applyBorder="0" applyProtection="0">
      <alignment horizontal="left" vertical="center" indent="2"/>
    </xf>
    <xf numFmtId="49" fontId="63" fillId="0" borderId="157" applyNumberFormat="0" applyFont="0" applyFill="0" applyBorder="0" applyProtection="0">
      <alignment horizontal="left" vertical="center" indent="5"/>
    </xf>
    <xf numFmtId="49" fontId="63" fillId="0" borderId="156" applyNumberFormat="0" applyFont="0" applyFill="0" applyBorder="0" applyProtection="0">
      <alignment horizontal="left" vertical="center" indent="2"/>
    </xf>
    <xf numFmtId="4" fontId="63" fillId="0" borderId="156" applyFill="0" applyBorder="0" applyProtection="0">
      <alignment horizontal="right" vertical="center"/>
    </xf>
    <xf numFmtId="49" fontId="62" fillId="0" borderId="156" applyNumberFormat="0" applyFill="0" applyBorder="0" applyProtection="0">
      <alignment horizontal="left" vertical="center"/>
    </xf>
    <xf numFmtId="0" fontId="63" fillId="0" borderId="159">
      <alignment horizontal="left" vertical="center" wrapText="1" indent="2"/>
    </xf>
    <xf numFmtId="0" fontId="92" fillId="64" borderId="147" applyNumberFormat="0" applyAlignment="0" applyProtection="0"/>
    <xf numFmtId="0" fontId="61" fillId="2" borderId="158">
      <alignment horizontal="right" vertical="center"/>
    </xf>
    <xf numFmtId="0" fontId="79" fillId="51" borderId="148" applyNumberFormat="0" applyAlignment="0" applyProtection="0"/>
    <xf numFmtId="0" fontId="61" fillId="2" borderId="158">
      <alignment horizontal="right" vertical="center"/>
    </xf>
    <xf numFmtId="4" fontId="61" fillId="2" borderId="156">
      <alignment horizontal="right" vertical="center"/>
    </xf>
    <xf numFmtId="0" fontId="61" fillId="2" borderId="156">
      <alignment horizontal="right" vertical="center"/>
    </xf>
    <xf numFmtId="0" fontId="73" fillId="64" borderId="147" applyNumberFormat="0" applyAlignment="0" applyProtection="0"/>
    <xf numFmtId="0" fontId="75" fillId="64" borderId="148" applyNumberFormat="0" applyAlignment="0" applyProtection="0"/>
    <xf numFmtId="0" fontId="80" fillId="0" borderId="150" applyNumberFormat="0" applyFill="0" applyAlignment="0" applyProtection="0"/>
    <xf numFmtId="0" fontId="63" fillId="42" borderId="156"/>
    <xf numFmtId="4" fontId="63" fillId="42" borderId="156"/>
    <xf numFmtId="4" fontId="61" fillId="2" borderId="156">
      <alignment horizontal="right" vertical="center"/>
    </xf>
    <xf numFmtId="0" fontId="65" fillId="41" borderId="156">
      <alignment horizontal="right" vertical="center"/>
    </xf>
    <xf numFmtId="0" fontId="79" fillId="51" borderId="148" applyNumberFormat="0" applyAlignment="0" applyProtection="0"/>
    <xf numFmtId="0" fontId="76" fillId="64" borderId="148" applyNumberFormat="0" applyAlignment="0" applyProtection="0"/>
    <xf numFmtId="4" fontId="63" fillId="0" borderId="156">
      <alignment horizontal="right" vertical="center"/>
    </xf>
    <xf numFmtId="0" fontId="63" fillId="2" borderId="159">
      <alignment horizontal="left" vertical="center" wrapText="1" indent="2"/>
    </xf>
    <xf numFmtId="0" fontId="63" fillId="0" borderId="159">
      <alignment horizontal="left" vertical="center" wrapText="1" indent="2"/>
    </xf>
    <xf numFmtId="0" fontId="92" fillId="64" borderId="147" applyNumberFormat="0" applyAlignment="0" applyProtection="0"/>
    <xf numFmtId="0" fontId="88" fillId="51" borderId="148" applyNumberFormat="0" applyAlignment="0" applyProtection="0"/>
    <xf numFmtId="0" fontId="75" fillId="64" borderId="148" applyNumberFormat="0" applyAlignment="0" applyProtection="0"/>
    <xf numFmtId="0" fontId="73" fillId="64" borderId="147" applyNumberFormat="0" applyAlignment="0" applyProtection="0"/>
    <xf numFmtId="0" fontId="61" fillId="2" borderId="158">
      <alignment horizontal="right" vertical="center"/>
    </xf>
    <xf numFmtId="0" fontId="65" fillId="41" borderId="156">
      <alignment horizontal="right" vertical="center"/>
    </xf>
    <xf numFmtId="4" fontId="61" fillId="41" borderId="156">
      <alignment horizontal="right" vertical="center"/>
    </xf>
    <xf numFmtId="4" fontId="61" fillId="2" borderId="156">
      <alignment horizontal="right" vertical="center"/>
    </xf>
    <xf numFmtId="49" fontId="63" fillId="0" borderId="157" applyNumberFormat="0" applyFont="0" applyFill="0" applyBorder="0" applyProtection="0">
      <alignment horizontal="left" vertical="center" indent="5"/>
    </xf>
    <xf numFmtId="4" fontId="63" fillId="0" borderId="156" applyFill="0" applyBorder="0" applyProtection="0">
      <alignment horizontal="right" vertical="center"/>
    </xf>
    <xf numFmtId="4" fontId="61" fillId="41" borderId="156">
      <alignment horizontal="right" vertical="center"/>
    </xf>
    <xf numFmtId="0" fontId="7" fillId="0" borderId="0"/>
    <xf numFmtId="0" fontId="88" fillId="51" borderId="148" applyNumberFormat="0" applyAlignment="0" applyProtection="0"/>
    <xf numFmtId="0" fontId="79" fillId="51" borderId="148" applyNumberFormat="0" applyAlignment="0" applyProtection="0"/>
    <xf numFmtId="0" fontId="75" fillId="64" borderId="148" applyNumberFormat="0" applyAlignment="0" applyProtection="0"/>
    <xf numFmtId="0" fontId="63" fillId="2" borderId="159">
      <alignment horizontal="left" vertical="center" wrapText="1" indent="2"/>
    </xf>
    <xf numFmtId="0" fontId="63" fillId="0" borderId="159">
      <alignment horizontal="left" vertical="center" wrapText="1" indent="2"/>
    </xf>
    <xf numFmtId="0" fontId="63" fillId="2" borderId="159">
      <alignment horizontal="left" vertical="center" wrapText="1" indent="2"/>
    </xf>
    <xf numFmtId="0" fontId="63" fillId="0" borderId="159">
      <alignment horizontal="left" vertical="center" wrapText="1" indent="2"/>
    </xf>
    <xf numFmtId="0" fontId="73" fillId="64" borderId="147" applyNumberFormat="0" applyAlignment="0" applyProtection="0"/>
    <xf numFmtId="0" fontId="75" fillId="64" borderId="148" applyNumberFormat="0" applyAlignment="0" applyProtection="0"/>
    <xf numFmtId="0" fontId="76" fillId="64" borderId="148" applyNumberFormat="0" applyAlignment="0" applyProtection="0"/>
    <xf numFmtId="0" fontId="79" fillId="51" borderId="148" applyNumberFormat="0" applyAlignment="0" applyProtection="0"/>
    <xf numFmtId="0" fontId="80" fillId="0" borderId="150" applyNumberFormat="0" applyFill="0" applyAlignment="0" applyProtection="0"/>
    <xf numFmtId="0" fontId="88" fillId="51" borderId="148" applyNumberFormat="0" applyAlignment="0" applyProtection="0"/>
    <xf numFmtId="0" fontId="70" fillId="67" borderId="155" applyNumberFormat="0" applyFont="0" applyAlignment="0" applyProtection="0"/>
    <xf numFmtId="0" fontId="7" fillId="67" borderId="155" applyNumberFormat="0" applyFont="0" applyAlignment="0" applyProtection="0"/>
    <xf numFmtId="0" fontId="92" fillId="64" borderId="147" applyNumberFormat="0" applyAlignment="0" applyProtection="0"/>
    <xf numFmtId="0" fontId="95" fillId="0" borderId="150" applyNumberFormat="0" applyFill="0" applyAlignment="0" applyProtection="0"/>
    <xf numFmtId="0" fontId="76" fillId="64" borderId="148" applyNumberFormat="0" applyAlignment="0" applyProtection="0"/>
    <xf numFmtId="0" fontId="88" fillId="51" borderId="148" applyNumberFormat="0" applyAlignment="0" applyProtection="0"/>
    <xf numFmtId="0" fontId="70" fillId="67" borderId="155" applyNumberFormat="0" applyFont="0" applyAlignment="0" applyProtection="0"/>
    <xf numFmtId="0" fontId="92" fillId="64" borderId="147" applyNumberFormat="0" applyAlignment="0" applyProtection="0"/>
    <xf numFmtId="0" fontId="95" fillId="0" borderId="150" applyNumberFormat="0" applyFill="0" applyAlignment="0" applyProtection="0"/>
    <xf numFmtId="0" fontId="61" fillId="2" borderId="19">
      <alignment horizontal="right" vertical="center"/>
    </xf>
    <xf numFmtId="4" fontId="61" fillId="2" borderId="19">
      <alignment horizontal="right" vertical="center"/>
    </xf>
    <xf numFmtId="0" fontId="61" fillId="2" borderId="20">
      <alignment horizontal="right" vertical="center"/>
    </xf>
    <xf numFmtId="4" fontId="61" fillId="2" borderId="20">
      <alignment horizontal="right" vertical="center"/>
    </xf>
    <xf numFmtId="0" fontId="76" fillId="64" borderId="148" applyNumberFormat="0" applyAlignment="0" applyProtection="0"/>
    <xf numFmtId="0" fontId="63" fillId="2" borderId="48">
      <alignment horizontal="left" vertical="center" wrapText="1" indent="2"/>
    </xf>
    <xf numFmtId="0" fontId="63" fillId="0" borderId="48">
      <alignment horizontal="left" vertical="center" wrapText="1" indent="2"/>
    </xf>
    <xf numFmtId="0" fontId="63" fillId="41" borderId="19">
      <alignment horizontal="left" vertical="center"/>
    </xf>
    <xf numFmtId="0" fontId="88" fillId="51" borderId="148" applyNumberFormat="0" applyAlignment="0" applyProtection="0"/>
    <xf numFmtId="0" fontId="92" fillId="64" borderId="147" applyNumberFormat="0" applyAlignment="0" applyProtection="0"/>
    <xf numFmtId="0" fontId="95" fillId="0" borderId="150" applyNumberFormat="0" applyFill="0" applyAlignment="0" applyProtection="0"/>
    <xf numFmtId="49" fontId="63" fillId="0" borderId="19" applyNumberFormat="0" applyFont="0" applyFill="0" applyBorder="0" applyProtection="0">
      <alignment horizontal="left" vertical="center" indent="5"/>
    </xf>
    <xf numFmtId="0" fontId="73" fillId="64" borderId="147" applyNumberFormat="0" applyAlignment="0" applyProtection="0"/>
    <xf numFmtId="0" fontId="75" fillId="64" borderId="148" applyNumberFormat="0" applyAlignment="0" applyProtection="0"/>
    <xf numFmtId="0" fontId="80" fillId="0" borderId="150" applyNumberFormat="0" applyFill="0" applyAlignment="0" applyProtection="0"/>
    <xf numFmtId="49" fontId="63" fillId="0" borderId="156" applyNumberFormat="0" applyFont="0" applyFill="0" applyBorder="0" applyProtection="0">
      <alignment horizontal="left" vertical="center" indent="2"/>
    </xf>
    <xf numFmtId="0" fontId="61" fillId="41" borderId="156">
      <alignment horizontal="right" vertical="center"/>
    </xf>
    <xf numFmtId="4" fontId="61" fillId="41" borderId="156">
      <alignment horizontal="right" vertical="center"/>
    </xf>
    <xf numFmtId="0" fontId="65" fillId="41" borderId="156">
      <alignment horizontal="right" vertical="center"/>
    </xf>
    <xf numFmtId="4" fontId="65" fillId="41" borderId="156">
      <alignment horizontal="right" vertical="center"/>
    </xf>
    <xf numFmtId="0" fontId="61" fillId="2" borderId="156">
      <alignment horizontal="right" vertical="center"/>
    </xf>
    <xf numFmtId="4" fontId="61" fillId="2" borderId="156">
      <alignment horizontal="right" vertical="center"/>
    </xf>
    <xf numFmtId="0" fontId="61" fillId="2" borderId="156">
      <alignment horizontal="right" vertical="center"/>
    </xf>
    <xf numFmtId="4" fontId="61" fillId="2" borderId="156">
      <alignment horizontal="right" vertical="center"/>
    </xf>
    <xf numFmtId="0" fontId="79" fillId="51" borderId="148" applyNumberFormat="0" applyAlignment="0" applyProtection="0"/>
    <xf numFmtId="0" fontId="63" fillId="0" borderId="156">
      <alignment horizontal="right" vertical="center"/>
    </xf>
    <xf numFmtId="4" fontId="63" fillId="0" borderId="156">
      <alignment horizontal="right" vertical="center"/>
    </xf>
    <xf numFmtId="4" fontId="63" fillId="0" borderId="156" applyFill="0" applyBorder="0" applyProtection="0">
      <alignment horizontal="right" vertical="center"/>
    </xf>
    <xf numFmtId="49" fontId="62" fillId="0" borderId="156" applyNumberFormat="0" applyFill="0" applyBorder="0" applyProtection="0">
      <alignment horizontal="left" vertical="center"/>
    </xf>
    <xf numFmtId="0" fontId="63" fillId="0" borderId="156" applyNumberFormat="0" applyFill="0" applyAlignment="0" applyProtection="0"/>
    <xf numFmtId="170" fontId="63" fillId="68" borderId="156" applyNumberFormat="0" applyFont="0" applyBorder="0" applyAlignment="0" applyProtection="0">
      <alignment horizontal="right" vertical="center"/>
    </xf>
    <xf numFmtId="0" fontId="63" fillId="42" borderId="156"/>
    <xf numFmtId="4" fontId="63" fillId="42" borderId="156"/>
    <xf numFmtId="4" fontId="61" fillId="2" borderId="156">
      <alignment horizontal="right" vertical="center"/>
    </xf>
    <xf numFmtId="0" fontId="63" fillId="42" borderId="156"/>
    <xf numFmtId="0" fontId="75" fillId="64" borderId="148" applyNumberFormat="0" applyAlignment="0" applyProtection="0"/>
    <xf numFmtId="0" fontId="61" fillId="41" borderId="156">
      <alignment horizontal="right" vertical="center"/>
    </xf>
    <xf numFmtId="0" fontId="63" fillId="0" borderId="156">
      <alignment horizontal="right" vertical="center"/>
    </xf>
    <xf numFmtId="0" fontId="95" fillId="0" borderId="150" applyNumberFormat="0" applyFill="0" applyAlignment="0" applyProtection="0"/>
    <xf numFmtId="0" fontId="63" fillId="41" borderId="157">
      <alignment horizontal="left" vertical="center"/>
    </xf>
    <xf numFmtId="0" fontId="88" fillId="51" borderId="148" applyNumberFormat="0" applyAlignment="0" applyProtection="0"/>
    <xf numFmtId="170" fontId="63" fillId="68" borderId="156" applyNumberFormat="0" applyFont="0" applyBorder="0" applyAlignment="0" applyProtection="0">
      <alignment horizontal="right" vertical="center"/>
    </xf>
    <xf numFmtId="0" fontId="70" fillId="67" borderId="155" applyNumberFormat="0" applyFont="0" applyAlignment="0" applyProtection="0"/>
    <xf numFmtId="0" fontId="63" fillId="0" borderId="159">
      <alignment horizontal="left" vertical="center" wrapText="1" indent="2"/>
    </xf>
    <xf numFmtId="4" fontId="63" fillId="42" borderId="156"/>
    <xf numFmtId="49" fontId="62" fillId="0" borderId="156" applyNumberFormat="0" applyFill="0" applyBorder="0" applyProtection="0">
      <alignment horizontal="left" vertical="center"/>
    </xf>
    <xf numFmtId="0" fontId="63" fillId="0" borderId="156">
      <alignment horizontal="right" vertical="center"/>
    </xf>
    <xf numFmtId="4" fontId="61" fillId="2" borderId="158">
      <alignment horizontal="right" vertical="center"/>
    </xf>
    <xf numFmtId="4" fontId="61" fillId="2" borderId="156">
      <alignment horizontal="right" vertical="center"/>
    </xf>
    <xf numFmtId="4" fontId="61" fillId="2" borderId="156">
      <alignment horizontal="right" vertical="center"/>
    </xf>
    <xf numFmtId="0" fontId="65" fillId="41" borderId="156">
      <alignment horizontal="right" vertical="center"/>
    </xf>
    <xf numFmtId="0" fontId="61" fillId="41" borderId="156">
      <alignment horizontal="right" vertical="center"/>
    </xf>
    <xf numFmtId="49" fontId="63" fillId="0" borderId="156" applyNumberFormat="0" applyFont="0" applyFill="0" applyBorder="0" applyProtection="0">
      <alignment horizontal="left" vertical="center" indent="2"/>
    </xf>
    <xf numFmtId="0" fontId="88" fillId="51" borderId="148" applyNumberFormat="0" applyAlignment="0" applyProtection="0"/>
    <xf numFmtId="0" fontId="73" fillId="64" borderId="147" applyNumberFormat="0" applyAlignment="0" applyProtection="0"/>
    <xf numFmtId="49" fontId="63" fillId="0" borderId="156" applyNumberFormat="0" applyFont="0" applyFill="0" applyBorder="0" applyProtection="0">
      <alignment horizontal="left" vertical="center" indent="2"/>
    </xf>
    <xf numFmtId="0" fontId="79" fillId="51" borderId="148" applyNumberFormat="0" applyAlignment="0" applyProtection="0"/>
    <xf numFmtId="4" fontId="63" fillId="0" borderId="156" applyFill="0" applyBorder="0" applyProtection="0">
      <alignment horizontal="right" vertical="center"/>
    </xf>
    <xf numFmtId="0" fontId="76" fillId="64" borderId="148" applyNumberFormat="0" applyAlignment="0" applyProtection="0"/>
    <xf numFmtId="0" fontId="95" fillId="0" borderId="150" applyNumberFormat="0" applyFill="0" applyAlignment="0" applyProtection="0"/>
    <xf numFmtId="0" fontId="92" fillId="64" borderId="147" applyNumberFormat="0" applyAlignment="0" applyProtection="0"/>
    <xf numFmtId="0" fontId="63" fillId="0" borderId="156" applyNumberFormat="0" applyFill="0" applyAlignment="0" applyProtection="0"/>
    <xf numFmtId="4" fontId="63" fillId="0" borderId="156">
      <alignment horizontal="right" vertical="center"/>
    </xf>
    <xf numFmtId="0" fontId="63" fillId="0" borderId="156">
      <alignment horizontal="right" vertical="center"/>
    </xf>
    <xf numFmtId="0" fontId="88" fillId="51" borderId="148" applyNumberFormat="0" applyAlignment="0" applyProtection="0"/>
    <xf numFmtId="0" fontId="73" fillId="64" borderId="147" applyNumberFormat="0" applyAlignment="0" applyProtection="0"/>
    <xf numFmtId="0" fontId="75" fillId="64" borderId="148" applyNumberFormat="0" applyAlignment="0" applyProtection="0"/>
    <xf numFmtId="0" fontId="63" fillId="2" borderId="159">
      <alignment horizontal="left" vertical="center" wrapText="1" indent="2"/>
    </xf>
    <xf numFmtId="0" fontId="76" fillId="64" borderId="148" applyNumberFormat="0" applyAlignment="0" applyProtection="0"/>
    <xf numFmtId="0" fontId="76" fillId="64" borderId="148" applyNumberFormat="0" applyAlignment="0" applyProtection="0"/>
    <xf numFmtId="4" fontId="61" fillId="2" borderId="157">
      <alignment horizontal="right" vertical="center"/>
    </xf>
    <xf numFmtId="0" fontId="61" fillId="2" borderId="157">
      <alignment horizontal="right" vertical="center"/>
    </xf>
    <xf numFmtId="0" fontId="61" fillId="2" borderId="156">
      <alignment horizontal="right" vertical="center"/>
    </xf>
    <xf numFmtId="4" fontId="65" fillId="41" borderId="156">
      <alignment horizontal="right" vertical="center"/>
    </xf>
    <xf numFmtId="0" fontId="79" fillId="51" borderId="148" applyNumberFormat="0" applyAlignment="0" applyProtection="0"/>
    <xf numFmtId="0" fontId="80" fillId="0" borderId="150" applyNumberFormat="0" applyFill="0" applyAlignment="0" applyProtection="0"/>
    <xf numFmtId="0" fontId="95" fillId="0" borderId="150" applyNumberFormat="0" applyFill="0" applyAlignment="0" applyProtection="0"/>
    <xf numFmtId="0" fontId="70" fillId="67" borderId="155" applyNumberFormat="0" applyFont="0" applyAlignment="0" applyProtection="0"/>
    <xf numFmtId="0" fontId="88" fillId="51" borderId="148" applyNumberFormat="0" applyAlignment="0" applyProtection="0"/>
    <xf numFmtId="49" fontId="62" fillId="0" borderId="156" applyNumberFormat="0" applyFill="0" applyBorder="0" applyProtection="0">
      <alignment horizontal="left" vertical="center"/>
    </xf>
    <xf numFmtId="0" fontId="63" fillId="2" borderId="159">
      <alignment horizontal="left" vertical="center" wrapText="1" indent="2"/>
    </xf>
    <xf numFmtId="0" fontId="76" fillId="64" borderId="148" applyNumberFormat="0" applyAlignment="0" applyProtection="0"/>
    <xf numFmtId="0" fontId="63" fillId="0" borderId="159">
      <alignment horizontal="left" vertical="center" wrapText="1" indent="2"/>
    </xf>
    <xf numFmtId="0" fontId="70" fillId="67" borderId="155" applyNumberFormat="0" applyFont="0" applyAlignment="0" applyProtection="0"/>
    <xf numFmtId="0" fontId="7" fillId="67" borderId="155" applyNumberFormat="0" applyFont="0" applyAlignment="0" applyProtection="0"/>
    <xf numFmtId="0" fontId="92" fillId="64" borderId="147" applyNumberFormat="0" applyAlignment="0" applyProtection="0"/>
    <xf numFmtId="0" fontId="95" fillId="0" borderId="150" applyNumberFormat="0" applyFill="0" applyAlignment="0" applyProtection="0"/>
    <xf numFmtId="4" fontId="63" fillId="42" borderId="156"/>
    <xf numFmtId="0" fontId="61" fillId="2" borderId="156">
      <alignment horizontal="right" vertical="center"/>
    </xf>
    <xf numFmtId="0" fontId="95" fillId="0" borderId="150" applyNumberFormat="0" applyFill="0" applyAlignment="0" applyProtection="0"/>
    <xf numFmtId="4" fontId="61" fillId="2" borderId="158">
      <alignment horizontal="right" vertical="center"/>
    </xf>
    <xf numFmtId="0" fontId="75" fillId="64" borderId="148" applyNumberFormat="0" applyAlignment="0" applyProtection="0"/>
    <xf numFmtId="0" fontId="61" fillId="2" borderId="157">
      <alignment horizontal="right" vertical="center"/>
    </xf>
    <xf numFmtId="0" fontId="76" fillId="64" borderId="148" applyNumberFormat="0" applyAlignment="0" applyProtection="0"/>
    <xf numFmtId="0" fontId="80" fillId="0" borderId="150" applyNumberFormat="0" applyFill="0" applyAlignment="0" applyProtection="0"/>
    <xf numFmtId="0" fontId="70" fillId="67" borderId="155" applyNumberFormat="0" applyFont="0" applyAlignment="0" applyProtection="0"/>
    <xf numFmtId="4" fontId="61" fillId="2" borderId="157">
      <alignment horizontal="right" vertical="center"/>
    </xf>
    <xf numFmtId="0" fontId="63" fillId="2" borderId="159">
      <alignment horizontal="left" vertical="center" wrapText="1" indent="2"/>
    </xf>
    <xf numFmtId="0" fontId="63" fillId="42" borderId="156"/>
    <xf numFmtId="170" fontId="63" fillId="68" borderId="156" applyNumberFormat="0" applyFont="0" applyBorder="0" applyAlignment="0" applyProtection="0">
      <alignment horizontal="right" vertical="center"/>
    </xf>
    <xf numFmtId="0" fontId="63" fillId="0" borderId="156" applyNumberFormat="0" applyFill="0" applyAlignment="0" applyProtection="0"/>
    <xf numFmtId="4" fontId="63" fillId="0" borderId="156" applyFill="0" applyBorder="0" applyProtection="0">
      <alignment horizontal="right" vertical="center"/>
    </xf>
    <xf numFmtId="4" fontId="61" fillId="41" borderId="156">
      <alignment horizontal="right" vertical="center"/>
    </xf>
    <xf numFmtId="0" fontId="80" fillId="0" borderId="150" applyNumberFormat="0" applyFill="0" applyAlignment="0" applyProtection="0"/>
    <xf numFmtId="49" fontId="62" fillId="0" borderId="156" applyNumberFormat="0" applyFill="0" applyBorder="0" applyProtection="0">
      <alignment horizontal="left" vertical="center"/>
    </xf>
    <xf numFmtId="49" fontId="63" fillId="0" borderId="157" applyNumberFormat="0" applyFont="0" applyFill="0" applyBorder="0" applyProtection="0">
      <alignment horizontal="left" vertical="center" indent="5"/>
    </xf>
    <xf numFmtId="0" fontId="63" fillId="41" borderId="157">
      <alignment horizontal="left" vertical="center"/>
    </xf>
    <xf numFmtId="0" fontId="76" fillId="64" borderId="148" applyNumberFormat="0" applyAlignment="0" applyProtection="0"/>
    <xf numFmtId="4" fontId="61" fillId="2" borderId="158">
      <alignment horizontal="right" vertical="center"/>
    </xf>
    <xf numFmtId="0" fontId="88" fillId="51" borderId="148" applyNumberFormat="0" applyAlignment="0" applyProtection="0"/>
    <xf numFmtId="0" fontId="88" fillId="51" borderId="148" applyNumberFormat="0" applyAlignment="0" applyProtection="0"/>
    <xf numFmtId="0" fontId="70" fillId="67" borderId="155" applyNumberFormat="0" applyFont="0" applyAlignment="0" applyProtection="0"/>
    <xf numFmtId="0" fontId="92" fillId="64" borderId="147" applyNumberFormat="0" applyAlignment="0" applyProtection="0"/>
    <xf numFmtId="0" fontId="95" fillId="0" borderId="150" applyNumberFormat="0" applyFill="0" applyAlignment="0" applyProtection="0"/>
    <xf numFmtId="0" fontId="61" fillId="2" borderId="156">
      <alignment horizontal="right" vertical="center"/>
    </xf>
    <xf numFmtId="0" fontId="7" fillId="67" borderId="155" applyNumberFormat="0" applyFont="0" applyAlignment="0" applyProtection="0"/>
    <xf numFmtId="4" fontId="63" fillId="0" borderId="156">
      <alignment horizontal="right" vertical="center"/>
    </xf>
    <xf numFmtId="0" fontId="95" fillId="0" borderId="150" applyNumberFormat="0" applyFill="0" applyAlignment="0" applyProtection="0"/>
    <xf numFmtId="0" fontId="61" fillId="2" borderId="156">
      <alignment horizontal="right" vertical="center"/>
    </xf>
    <xf numFmtId="0" fontId="61" fillId="2" borderId="156">
      <alignment horizontal="right" vertical="center"/>
    </xf>
    <xf numFmtId="4" fontId="65" fillId="41" borderId="156">
      <alignment horizontal="right" vertical="center"/>
    </xf>
    <xf numFmtId="0" fontId="61" fillId="41" borderId="156">
      <alignment horizontal="right" vertical="center"/>
    </xf>
    <xf numFmtId="4" fontId="61" fillId="41" borderId="156">
      <alignment horizontal="right" vertical="center"/>
    </xf>
    <xf numFmtId="0" fontId="65" fillId="41" borderId="156">
      <alignment horizontal="right" vertical="center"/>
    </xf>
    <xf numFmtId="4" fontId="65" fillId="41" borderId="156">
      <alignment horizontal="right" vertical="center"/>
    </xf>
    <xf numFmtId="0" fontId="61" fillId="2" borderId="156">
      <alignment horizontal="right" vertical="center"/>
    </xf>
    <xf numFmtId="4" fontId="61" fillId="2" borderId="156">
      <alignment horizontal="right" vertical="center"/>
    </xf>
    <xf numFmtId="0" fontId="61" fillId="2" borderId="156">
      <alignment horizontal="right" vertical="center"/>
    </xf>
    <xf numFmtId="4" fontId="61" fillId="2" borderId="156">
      <alignment horizontal="right" vertical="center"/>
    </xf>
    <xf numFmtId="0" fontId="61" fillId="2" borderId="157">
      <alignment horizontal="right" vertical="center"/>
    </xf>
    <xf numFmtId="4" fontId="61" fillId="2" borderId="157">
      <alignment horizontal="right" vertical="center"/>
    </xf>
    <xf numFmtId="0" fontId="61" fillId="2" borderId="158">
      <alignment horizontal="right" vertical="center"/>
    </xf>
    <xf numFmtId="4" fontId="61" fillId="2" borderId="158">
      <alignment horizontal="right" vertical="center"/>
    </xf>
    <xf numFmtId="0" fontId="76" fillId="64" borderId="148" applyNumberFormat="0" applyAlignment="0" applyProtection="0"/>
    <xf numFmtId="0" fontId="63" fillId="2" borderId="159">
      <alignment horizontal="left" vertical="center" wrapText="1" indent="2"/>
    </xf>
    <xf numFmtId="0" fontId="63" fillId="0" borderId="159">
      <alignment horizontal="left" vertical="center" wrapText="1" indent="2"/>
    </xf>
    <xf numFmtId="0" fontId="63" fillId="41" borderId="157">
      <alignment horizontal="left" vertical="center"/>
    </xf>
    <xf numFmtId="0" fontId="88" fillId="51" borderId="148" applyNumberFormat="0" applyAlignment="0" applyProtection="0"/>
    <xf numFmtId="0" fontId="63" fillId="0" borderId="156">
      <alignment horizontal="right" vertical="center"/>
    </xf>
    <xf numFmtId="4" fontId="63" fillId="0" borderId="156">
      <alignment horizontal="right" vertical="center"/>
    </xf>
    <xf numFmtId="0" fontId="63" fillId="0" borderId="156" applyNumberFormat="0" applyFill="0" applyAlignment="0" applyProtection="0"/>
    <xf numFmtId="0" fontId="92" fillId="64" borderId="147" applyNumberFormat="0" applyAlignment="0" applyProtection="0"/>
    <xf numFmtId="170" fontId="63" fillId="68" borderId="156" applyNumberFormat="0" applyFont="0" applyBorder="0" applyAlignment="0" applyProtection="0">
      <alignment horizontal="right" vertical="center"/>
    </xf>
    <xf numFmtId="0" fontId="63" fillId="42" borderId="156"/>
    <xf numFmtId="4" fontId="63" fillId="42" borderId="156"/>
    <xf numFmtId="0" fontId="95" fillId="0" borderId="150" applyNumberFormat="0" applyFill="0" applyAlignment="0" applyProtection="0"/>
    <xf numFmtId="0" fontId="7" fillId="67" borderId="155" applyNumberFormat="0" applyFont="0" applyAlignment="0" applyProtection="0"/>
    <xf numFmtId="0" fontId="70" fillId="67" borderId="155" applyNumberFormat="0" applyFont="0" applyAlignment="0" applyProtection="0"/>
    <xf numFmtId="0" fontId="63" fillId="0" borderId="156" applyNumberFormat="0" applyFill="0" applyAlignment="0" applyProtection="0"/>
    <xf numFmtId="0" fontId="80" fillId="0" borderId="150" applyNumberFormat="0" applyFill="0" applyAlignment="0" applyProtection="0"/>
    <xf numFmtId="0" fontId="95" fillId="0" borderId="150" applyNumberFormat="0" applyFill="0" applyAlignment="0" applyProtection="0"/>
    <xf numFmtId="0" fontId="79" fillId="51" borderId="148" applyNumberFormat="0" applyAlignment="0" applyProtection="0"/>
    <xf numFmtId="0" fontId="76" fillId="64" borderId="148" applyNumberFormat="0" applyAlignment="0" applyProtection="0"/>
    <xf numFmtId="4" fontId="65" fillId="41" borderId="156">
      <alignment horizontal="right" vertical="center"/>
    </xf>
    <xf numFmtId="0" fontId="61" fillId="41" borderId="156">
      <alignment horizontal="right" vertical="center"/>
    </xf>
    <xf numFmtId="170" fontId="63" fillId="68" borderId="156" applyNumberFormat="0" applyFont="0" applyBorder="0" applyAlignment="0" applyProtection="0">
      <alignment horizontal="right" vertical="center"/>
    </xf>
    <xf numFmtId="0" fontId="80" fillId="0" borderId="150" applyNumberFormat="0" applyFill="0" applyAlignment="0" applyProtection="0"/>
    <xf numFmtId="49" fontId="63" fillId="0" borderId="156" applyNumberFormat="0" applyFont="0" applyFill="0" applyBorder="0" applyProtection="0">
      <alignment horizontal="left" vertical="center" indent="2"/>
    </xf>
    <xf numFmtId="49" fontId="63" fillId="0" borderId="157" applyNumberFormat="0" applyFont="0" applyFill="0" applyBorder="0" applyProtection="0">
      <alignment horizontal="left" vertical="center" indent="5"/>
    </xf>
    <xf numFmtId="49" fontId="63" fillId="0" borderId="156" applyNumberFormat="0" applyFont="0" applyFill="0" applyBorder="0" applyProtection="0">
      <alignment horizontal="left" vertical="center" indent="2"/>
    </xf>
    <xf numFmtId="4" fontId="63" fillId="0" borderId="156" applyFill="0" applyBorder="0" applyProtection="0">
      <alignment horizontal="right" vertical="center"/>
    </xf>
    <xf numFmtId="49" fontId="62" fillId="0" borderId="156" applyNumberFormat="0" applyFill="0" applyBorder="0" applyProtection="0">
      <alignment horizontal="left" vertical="center"/>
    </xf>
    <xf numFmtId="0" fontId="63" fillId="0" borderId="159">
      <alignment horizontal="left" vertical="center" wrapText="1" indent="2"/>
    </xf>
    <xf numFmtId="0" fontId="92" fillId="64" borderId="147" applyNumberFormat="0" applyAlignment="0" applyProtection="0"/>
    <xf numFmtId="0" fontId="61" fillId="2" borderId="158">
      <alignment horizontal="right" vertical="center"/>
    </xf>
    <xf numFmtId="0" fontId="79" fillId="51" borderId="148" applyNumberFormat="0" applyAlignment="0" applyProtection="0"/>
    <xf numFmtId="0" fontId="61" fillId="2" borderId="158">
      <alignment horizontal="right" vertical="center"/>
    </xf>
    <xf numFmtId="4" fontId="61" fillId="2" borderId="156">
      <alignment horizontal="right" vertical="center"/>
    </xf>
    <xf numFmtId="0" fontId="61" fillId="2" borderId="156">
      <alignment horizontal="right" vertical="center"/>
    </xf>
    <xf numFmtId="0" fontId="73" fillId="64" borderId="147" applyNumberFormat="0" applyAlignment="0" applyProtection="0"/>
    <xf numFmtId="0" fontId="75" fillId="64" borderId="148" applyNumberFormat="0" applyAlignment="0" applyProtection="0"/>
    <xf numFmtId="0" fontId="80" fillId="0" borderId="150" applyNumberFormat="0" applyFill="0" applyAlignment="0" applyProtection="0"/>
    <xf numFmtId="0" fontId="63" fillId="42" borderId="156"/>
    <xf numFmtId="4" fontId="63" fillId="42" borderId="156"/>
    <xf numFmtId="4" fontId="61" fillId="2" borderId="156">
      <alignment horizontal="right" vertical="center"/>
    </xf>
    <xf numFmtId="0" fontId="65" fillId="41" borderId="156">
      <alignment horizontal="right" vertical="center"/>
    </xf>
    <xf numFmtId="0" fontId="79" fillId="51" borderId="148" applyNumberFormat="0" applyAlignment="0" applyProtection="0"/>
    <xf numFmtId="0" fontId="76" fillId="64" borderId="148" applyNumberFormat="0" applyAlignment="0" applyProtection="0"/>
    <xf numFmtId="4" fontId="63" fillId="0" borderId="156">
      <alignment horizontal="right" vertical="center"/>
    </xf>
    <xf numFmtId="0" fontId="63" fillId="2" borderId="159">
      <alignment horizontal="left" vertical="center" wrapText="1" indent="2"/>
    </xf>
    <xf numFmtId="0" fontId="63" fillId="0" borderId="159">
      <alignment horizontal="left" vertical="center" wrapText="1" indent="2"/>
    </xf>
    <xf numFmtId="0" fontId="92" fillId="64" borderId="147" applyNumberFormat="0" applyAlignment="0" applyProtection="0"/>
    <xf numFmtId="0" fontId="88" fillId="51" borderId="148" applyNumberFormat="0" applyAlignment="0" applyProtection="0"/>
    <xf numFmtId="0" fontId="75" fillId="64" borderId="148" applyNumberFormat="0" applyAlignment="0" applyProtection="0"/>
    <xf numFmtId="0" fontId="73" fillId="64" borderId="147" applyNumberFormat="0" applyAlignment="0" applyProtection="0"/>
    <xf numFmtId="0" fontId="61" fillId="2" borderId="158">
      <alignment horizontal="right" vertical="center"/>
    </xf>
    <xf numFmtId="0" fontId="65" fillId="41" borderId="156">
      <alignment horizontal="right" vertical="center"/>
    </xf>
    <xf numFmtId="4" fontId="61" fillId="41" borderId="156">
      <alignment horizontal="right" vertical="center"/>
    </xf>
    <xf numFmtId="4" fontId="61" fillId="2" borderId="156">
      <alignment horizontal="right" vertical="center"/>
    </xf>
    <xf numFmtId="49" fontId="63" fillId="0" borderId="157" applyNumberFormat="0" applyFont="0" applyFill="0" applyBorder="0" applyProtection="0">
      <alignment horizontal="left" vertical="center" indent="5"/>
    </xf>
    <xf numFmtId="4" fontId="63" fillId="0" borderId="156" applyFill="0" applyBorder="0" applyProtection="0">
      <alignment horizontal="right" vertical="center"/>
    </xf>
    <xf numFmtId="4" fontId="61" fillId="41" borderId="156">
      <alignment horizontal="right" vertical="center"/>
    </xf>
    <xf numFmtId="0" fontId="88" fillId="51" borderId="148" applyNumberFormat="0" applyAlignment="0" applyProtection="0"/>
    <xf numFmtId="0" fontId="79" fillId="51" borderId="148" applyNumberFormat="0" applyAlignment="0" applyProtection="0"/>
    <xf numFmtId="0" fontId="75" fillId="64" borderId="148" applyNumberFormat="0" applyAlignment="0" applyProtection="0"/>
    <xf numFmtId="0" fontId="63" fillId="2" borderId="159">
      <alignment horizontal="left" vertical="center" wrapText="1" indent="2"/>
    </xf>
    <xf numFmtId="0" fontId="63" fillId="0" borderId="159">
      <alignment horizontal="left" vertical="center" wrapText="1" indent="2"/>
    </xf>
    <xf numFmtId="0" fontId="63" fillId="2" borderId="159">
      <alignment horizontal="left" vertical="center" wrapText="1" indent="2"/>
    </xf>
    <xf numFmtId="0" fontId="1" fillId="0" borderId="0"/>
    <xf numFmtId="0" fontId="61" fillId="2" borderId="164">
      <alignment horizontal="right" vertical="center"/>
    </xf>
    <xf numFmtId="0" fontId="73" fillId="64" borderId="160" applyNumberFormat="0" applyAlignment="0" applyProtection="0"/>
    <xf numFmtId="0" fontId="61" fillId="41" borderId="164">
      <alignment horizontal="right" vertical="center"/>
    </xf>
    <xf numFmtId="4" fontId="61" fillId="2" borderId="164">
      <alignment horizontal="right" vertical="center"/>
    </xf>
    <xf numFmtId="0" fontId="95" fillId="0" borderId="162" applyNumberFormat="0" applyFill="0" applyAlignment="0" applyProtection="0"/>
    <xf numFmtId="0" fontId="54" fillId="22" borderId="144" applyNumberFormat="0" applyAlignment="0" applyProtection="0"/>
    <xf numFmtId="0" fontId="63" fillId="42" borderId="164"/>
    <xf numFmtId="0" fontId="63" fillId="0" borderId="164">
      <alignment horizontal="right" vertical="center"/>
    </xf>
    <xf numFmtId="0" fontId="73" fillId="64" borderId="160" applyNumberFormat="0" applyAlignment="0" applyProtection="0"/>
    <xf numFmtId="0" fontId="63" fillId="42" borderId="164"/>
    <xf numFmtId="0" fontId="65" fillId="41" borderId="164">
      <alignment horizontal="right" vertical="center"/>
    </xf>
    <xf numFmtId="170" fontId="63" fillId="68" borderId="164" applyNumberFormat="0" applyFont="0" applyBorder="0" applyAlignment="0" applyProtection="0">
      <alignment horizontal="right" vertical="center"/>
    </xf>
    <xf numFmtId="0" fontId="75" fillId="64" borderId="161" applyNumberFormat="0" applyAlignment="0" applyProtection="0"/>
    <xf numFmtId="0" fontId="80" fillId="0" borderId="162" applyNumberFormat="0" applyFill="0" applyAlignment="0" applyProtection="0"/>
    <xf numFmtId="4" fontId="63" fillId="42" borderId="164"/>
    <xf numFmtId="0" fontId="73" fillId="64" borderId="160" applyNumberFormat="0" applyAlignment="0" applyProtection="0"/>
    <xf numFmtId="0" fontId="70" fillId="67" borderId="163" applyNumberFormat="0" applyFont="0" applyAlignment="0" applyProtection="0"/>
    <xf numFmtId="4" fontId="61" fillId="2" borderId="164">
      <alignment horizontal="right" vertical="center"/>
    </xf>
    <xf numFmtId="0" fontId="61" fillId="41" borderId="164">
      <alignment horizontal="right" vertical="center"/>
    </xf>
    <xf numFmtId="4" fontId="61" fillId="2" borderId="164">
      <alignment horizontal="right" vertical="center"/>
    </xf>
    <xf numFmtId="4" fontId="61" fillId="2" borderId="166">
      <alignment horizontal="right" vertical="center"/>
    </xf>
    <xf numFmtId="4" fontId="61" fillId="2" borderId="164">
      <alignment horizontal="right" vertical="center"/>
    </xf>
    <xf numFmtId="4" fontId="63" fillId="42" borderId="164"/>
    <xf numFmtId="0" fontId="76" fillId="64" borderId="161" applyNumberFormat="0" applyAlignment="0" applyProtection="0"/>
    <xf numFmtId="0" fontId="54" fillId="22" borderId="144" applyNumberFormat="0" applyAlignment="0" applyProtection="0"/>
    <xf numFmtId="0" fontId="55" fillId="22" borderId="143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45" applyNumberFormat="0" applyFill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5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59" fillId="40" borderId="0" applyNumberFormat="0" applyBorder="0" applyAlignment="0" applyProtection="0"/>
    <xf numFmtId="4" fontId="63" fillId="42" borderId="164"/>
    <xf numFmtId="0" fontId="79" fillId="51" borderId="161" applyNumberFormat="0" applyAlignment="0" applyProtection="0"/>
    <xf numFmtId="4" fontId="61" fillId="2" borderId="165">
      <alignment horizontal="right" vertical="center"/>
    </xf>
    <xf numFmtId="0" fontId="75" fillId="64" borderId="161" applyNumberFormat="0" applyAlignment="0" applyProtection="0"/>
    <xf numFmtId="0" fontId="75" fillId="64" borderId="161" applyNumberFormat="0" applyAlignment="0" applyProtection="0"/>
    <xf numFmtId="4" fontId="61" fillId="41" borderId="164">
      <alignment horizontal="right" vertical="center"/>
    </xf>
    <xf numFmtId="4" fontId="63" fillId="0" borderId="164" applyFill="0" applyBorder="0" applyProtection="0">
      <alignment horizontal="right" vertical="center"/>
    </xf>
    <xf numFmtId="49" fontId="63" fillId="0" borderId="165" applyNumberFormat="0" applyFont="0" applyFill="0" applyBorder="0" applyProtection="0">
      <alignment horizontal="left" vertical="center" indent="5"/>
    </xf>
    <xf numFmtId="0" fontId="80" fillId="0" borderId="162" applyNumberFormat="0" applyFill="0" applyAlignment="0" applyProtection="0"/>
    <xf numFmtId="0" fontId="61" fillId="41" borderId="164">
      <alignment horizontal="right" vertical="center"/>
    </xf>
    <xf numFmtId="0" fontId="76" fillId="64" borderId="161" applyNumberFormat="0" applyAlignment="0" applyProtection="0"/>
    <xf numFmtId="0" fontId="95" fillId="0" borderId="162" applyNumberFormat="0" applyFill="0" applyAlignment="0" applyProtection="0"/>
    <xf numFmtId="0" fontId="70" fillId="67" borderId="163" applyNumberFormat="0" applyFont="0" applyAlignment="0" applyProtection="0"/>
    <xf numFmtId="0" fontId="7" fillId="67" borderId="163" applyNumberFormat="0" applyFont="0" applyAlignment="0" applyProtection="0"/>
    <xf numFmtId="0" fontId="95" fillId="0" borderId="162" applyNumberFormat="0" applyFill="0" applyAlignment="0" applyProtection="0"/>
    <xf numFmtId="0" fontId="61" fillId="41" borderId="164">
      <alignment horizontal="right" vertical="center"/>
    </xf>
    <xf numFmtId="0" fontId="61" fillId="2" borderId="164">
      <alignment horizontal="right" vertical="center"/>
    </xf>
    <xf numFmtId="0" fontId="95" fillId="0" borderId="162" applyNumberFormat="0" applyFill="0" applyAlignment="0" applyProtection="0"/>
    <xf numFmtId="0" fontId="7" fillId="67" borderId="163" applyNumberFormat="0" applyFont="0" applyAlignment="0" applyProtection="0"/>
    <xf numFmtId="0" fontId="95" fillId="0" borderId="162" applyNumberFormat="0" applyFill="0" applyAlignment="0" applyProtection="0"/>
    <xf numFmtId="0" fontId="70" fillId="67" borderId="163" applyNumberFormat="0" applyFont="0" applyAlignment="0" applyProtection="0"/>
    <xf numFmtId="4" fontId="61" fillId="2" borderId="166">
      <alignment horizontal="right" vertical="center"/>
    </xf>
    <xf numFmtId="0" fontId="76" fillId="64" borderId="161" applyNumberFormat="0" applyAlignment="0" applyProtection="0"/>
    <xf numFmtId="0" fontId="63" fillId="41" borderId="165">
      <alignment horizontal="left" vertical="center"/>
    </xf>
    <xf numFmtId="0" fontId="70" fillId="67" borderId="163" applyNumberFormat="0" applyFont="0" applyAlignment="0" applyProtection="0"/>
    <xf numFmtId="0" fontId="76" fillId="64" borderId="161" applyNumberFormat="0" applyAlignment="0" applyProtection="0"/>
    <xf numFmtId="49" fontId="62" fillId="0" borderId="164" applyNumberFormat="0" applyFill="0" applyBorder="0" applyProtection="0">
      <alignment horizontal="left" vertical="center"/>
    </xf>
    <xf numFmtId="0" fontId="70" fillId="67" borderId="163" applyNumberFormat="0" applyFont="0" applyAlignment="0" applyProtection="0"/>
    <xf numFmtId="0" fontId="80" fillId="0" borderId="162" applyNumberFormat="0" applyFill="0" applyAlignment="0" applyProtection="0"/>
    <xf numFmtId="4" fontId="65" fillId="41" borderId="164">
      <alignment horizontal="right" vertical="center"/>
    </xf>
    <xf numFmtId="0" fontId="61" fillId="2" borderId="165">
      <alignment horizontal="right" vertical="center"/>
    </xf>
    <xf numFmtId="0" fontId="76" fillId="64" borderId="161" applyNumberFormat="0" applyAlignment="0" applyProtection="0"/>
    <xf numFmtId="0" fontId="73" fillId="64" borderId="160" applyNumberFormat="0" applyAlignment="0" applyProtection="0"/>
    <xf numFmtId="4" fontId="63" fillId="0" borderId="164">
      <alignment horizontal="right" vertical="center"/>
    </xf>
    <xf numFmtId="0" fontId="95" fillId="0" borderId="162" applyNumberFormat="0" applyFill="0" applyAlignment="0" applyProtection="0"/>
    <xf numFmtId="0" fontId="79" fillId="51" borderId="161" applyNumberFormat="0" applyAlignment="0" applyProtection="0"/>
    <xf numFmtId="0" fontId="88" fillId="51" borderId="161" applyNumberFormat="0" applyAlignment="0" applyProtection="0"/>
    <xf numFmtId="49" fontId="63" fillId="0" borderId="164" applyNumberFormat="0" applyFont="0" applyFill="0" applyBorder="0" applyProtection="0">
      <alignment horizontal="left" vertical="center" indent="2"/>
    </xf>
    <xf numFmtId="0" fontId="65" fillId="41" borderId="164">
      <alignment horizontal="right" vertical="center"/>
    </xf>
    <xf numFmtId="49" fontId="62" fillId="0" borderId="164" applyNumberFormat="0" applyFill="0" applyBorder="0" applyProtection="0">
      <alignment horizontal="left" vertical="center"/>
    </xf>
    <xf numFmtId="170" fontId="63" fillId="68" borderId="164" applyNumberFormat="0" applyFont="0" applyBorder="0" applyAlignment="0" applyProtection="0">
      <alignment horizontal="right" vertical="center"/>
    </xf>
    <xf numFmtId="0" fontId="61" fillId="41" borderId="164">
      <alignment horizontal="right" vertical="center"/>
    </xf>
    <xf numFmtId="0" fontId="92" fillId="64" borderId="160" applyNumberFormat="0" applyAlignment="0" applyProtection="0"/>
    <xf numFmtId="0" fontId="63" fillId="0" borderId="167">
      <alignment horizontal="left" vertical="center" wrapText="1" indent="2"/>
    </xf>
    <xf numFmtId="4" fontId="61" fillId="2" borderId="164">
      <alignment horizontal="right" vertical="center"/>
    </xf>
    <xf numFmtId="0" fontId="92" fillId="64" borderId="160" applyNumberFormat="0" applyAlignment="0" applyProtection="0"/>
    <xf numFmtId="4" fontId="65" fillId="41" borderId="164">
      <alignment horizontal="right" vertical="center"/>
    </xf>
    <xf numFmtId="0" fontId="80" fillId="0" borderId="162" applyNumberFormat="0" applyFill="0" applyAlignment="0" applyProtection="0"/>
    <xf numFmtId="0" fontId="76" fillId="64" borderId="161" applyNumberFormat="0" applyAlignment="0" applyProtection="0"/>
    <xf numFmtId="0" fontId="61" fillId="2" borderId="165">
      <alignment horizontal="right" vertical="center"/>
    </xf>
    <xf numFmtId="0" fontId="75" fillId="64" borderId="161" applyNumberFormat="0" applyAlignment="0" applyProtection="0"/>
    <xf numFmtId="4" fontId="61" fillId="2" borderId="166">
      <alignment horizontal="right" vertical="center"/>
    </xf>
    <xf numFmtId="0" fontId="95" fillId="0" borderId="162" applyNumberFormat="0" applyFill="0" applyAlignment="0" applyProtection="0"/>
    <xf numFmtId="0" fontId="61" fillId="2" borderId="165">
      <alignment horizontal="right" vertical="center"/>
    </xf>
    <xf numFmtId="49" fontId="62" fillId="0" borderId="164" applyNumberFormat="0" applyFill="0" applyBorder="0" applyProtection="0">
      <alignment horizontal="left" vertical="center"/>
    </xf>
    <xf numFmtId="4" fontId="63" fillId="42" borderId="164"/>
    <xf numFmtId="0" fontId="75" fillId="64" borderId="161" applyNumberFormat="0" applyAlignment="0" applyProtection="0"/>
    <xf numFmtId="49" fontId="63" fillId="0" borderId="165" applyNumberFormat="0" applyFont="0" applyFill="0" applyBorder="0" applyProtection="0">
      <alignment horizontal="left" vertical="center" indent="5"/>
    </xf>
    <xf numFmtId="0" fontId="56" fillId="0" borderId="0" applyNumberFormat="0" applyFill="0" applyBorder="0" applyAlignment="0" applyProtection="0"/>
    <xf numFmtId="0" fontId="55" fillId="22" borderId="143" applyNumberFormat="0" applyAlignment="0" applyProtection="0"/>
    <xf numFmtId="4" fontId="61" fillId="2" borderId="165">
      <alignment horizontal="right" vertical="center"/>
    </xf>
    <xf numFmtId="4" fontId="63" fillId="42" borderId="164"/>
    <xf numFmtId="0" fontId="88" fillId="51" borderId="161" applyNumberFormat="0" applyAlignment="0" applyProtection="0"/>
    <xf numFmtId="49" fontId="63" fillId="0" borderId="164" applyNumberFormat="0" applyFont="0" applyFill="0" applyBorder="0" applyProtection="0">
      <alignment horizontal="left" vertical="center" indent="2"/>
    </xf>
    <xf numFmtId="49" fontId="63" fillId="0" borderId="164" applyNumberFormat="0" applyFont="0" applyFill="0" applyBorder="0" applyProtection="0">
      <alignment horizontal="left" vertical="center" indent="2"/>
    </xf>
    <xf numFmtId="170" fontId="63" fillId="68" borderId="164" applyNumberFormat="0" applyFont="0" applyBorder="0" applyAlignment="0" applyProtection="0">
      <alignment horizontal="right" vertical="center"/>
    </xf>
    <xf numFmtId="4" fontId="65" fillId="41" borderId="164">
      <alignment horizontal="right" vertical="center"/>
    </xf>
    <xf numFmtId="0" fontId="79" fillId="51" borderId="161" applyNumberFormat="0" applyAlignment="0" applyProtection="0"/>
    <xf numFmtId="0" fontId="80" fillId="0" borderId="162" applyNumberFormat="0" applyFill="0" applyAlignment="0" applyProtection="0"/>
    <xf numFmtId="4" fontId="65" fillId="41" borderId="164">
      <alignment horizontal="right" vertical="center"/>
    </xf>
    <xf numFmtId="0" fontId="61" fillId="2" borderId="164">
      <alignment horizontal="right" vertical="center"/>
    </xf>
    <xf numFmtId="4" fontId="63" fillId="0" borderId="164">
      <alignment horizontal="right" vertical="center"/>
    </xf>
    <xf numFmtId="0" fontId="61" fillId="2" borderId="164">
      <alignment horizontal="right" vertical="center"/>
    </xf>
    <xf numFmtId="0" fontId="92" fillId="64" borderId="160" applyNumberFormat="0" applyAlignment="0" applyProtection="0"/>
    <xf numFmtId="0" fontId="88" fillId="51" borderId="161" applyNumberFormat="0" applyAlignment="0" applyProtection="0"/>
    <xf numFmtId="0" fontId="63" fillId="0" borderId="167">
      <alignment horizontal="left" vertical="center" wrapText="1" indent="2"/>
    </xf>
    <xf numFmtId="0" fontId="63" fillId="2" borderId="167">
      <alignment horizontal="left" vertical="center" wrapText="1" indent="2"/>
    </xf>
    <xf numFmtId="0" fontId="88" fillId="51" borderId="161" applyNumberFormat="0" applyAlignment="0" applyProtection="0"/>
    <xf numFmtId="0" fontId="95" fillId="0" borderId="162" applyNumberFormat="0" applyFill="0" applyAlignment="0" applyProtection="0"/>
    <xf numFmtId="0" fontId="79" fillId="51" borderId="161" applyNumberFormat="0" applyAlignment="0" applyProtection="0"/>
    <xf numFmtId="0" fontId="61" fillId="2" borderId="164">
      <alignment horizontal="right" vertical="center"/>
    </xf>
    <xf numFmtId="4" fontId="61" fillId="2" borderId="165">
      <alignment horizontal="right" vertical="center"/>
    </xf>
    <xf numFmtId="0" fontId="63" fillId="2" borderId="167">
      <alignment horizontal="left" vertical="center" wrapText="1" indent="2"/>
    </xf>
    <xf numFmtId="0" fontId="88" fillId="51" borderId="161" applyNumberFormat="0" applyAlignment="0" applyProtection="0"/>
    <xf numFmtId="0" fontId="63" fillId="0" borderId="164" applyNumberFormat="0" applyFill="0" applyAlignment="0" applyProtection="0"/>
    <xf numFmtId="0" fontId="76" fillId="64" borderId="161" applyNumberFormat="0" applyAlignment="0" applyProtection="0"/>
    <xf numFmtId="49" fontId="63" fillId="0" borderId="164" applyNumberFormat="0" applyFont="0" applyFill="0" applyBorder="0" applyProtection="0">
      <alignment horizontal="left" vertical="center" indent="2"/>
    </xf>
    <xf numFmtId="4" fontId="61" fillId="2" borderId="165">
      <alignment horizontal="right" vertical="center"/>
    </xf>
    <xf numFmtId="0" fontId="61" fillId="41" borderId="164">
      <alignment horizontal="right" vertical="center"/>
    </xf>
    <xf numFmtId="0" fontId="73" fillId="64" borderId="160" applyNumberFormat="0" applyAlignment="0" applyProtection="0"/>
    <xf numFmtId="0" fontId="1" fillId="33" borderId="0" applyNumberFormat="0" applyBorder="0" applyAlignment="0" applyProtection="0"/>
    <xf numFmtId="0" fontId="80" fillId="0" borderId="162" applyNumberFormat="0" applyFill="0" applyAlignment="0" applyProtection="0"/>
    <xf numFmtId="0" fontId="73" fillId="64" borderId="160" applyNumberFormat="0" applyAlignment="0" applyProtection="0"/>
    <xf numFmtId="4" fontId="61" fillId="2" borderId="164">
      <alignment horizontal="right" vertical="center"/>
    </xf>
    <xf numFmtId="0" fontId="79" fillId="51" borderId="161" applyNumberFormat="0" applyAlignment="0" applyProtection="0"/>
    <xf numFmtId="0" fontId="92" fillId="64" borderId="160" applyNumberFormat="0" applyAlignment="0" applyProtection="0"/>
    <xf numFmtId="49" fontId="62" fillId="0" borderId="164" applyNumberFormat="0" applyFill="0" applyBorder="0" applyProtection="0">
      <alignment horizontal="left" vertical="center"/>
    </xf>
    <xf numFmtId="4" fontId="61" fillId="2" borderId="166">
      <alignment horizontal="right" vertical="center"/>
    </xf>
    <xf numFmtId="4" fontId="61" fillId="2" borderId="165">
      <alignment horizontal="right" vertical="center"/>
    </xf>
    <xf numFmtId="4" fontId="61" fillId="2" borderId="164">
      <alignment horizontal="right" vertical="center"/>
    </xf>
    <xf numFmtId="4" fontId="61" fillId="2" borderId="164">
      <alignment horizontal="right" vertical="center"/>
    </xf>
    <xf numFmtId="4" fontId="65" fillId="41" borderId="164">
      <alignment horizontal="right" vertical="center"/>
    </xf>
    <xf numFmtId="4" fontId="61" fillId="41" borderId="164">
      <alignment horizontal="right" vertical="center"/>
    </xf>
    <xf numFmtId="0" fontId="80" fillId="0" borderId="162" applyNumberFormat="0" applyFill="0" applyAlignment="0" applyProtection="0"/>
    <xf numFmtId="0" fontId="61" fillId="2" borderId="165">
      <alignment horizontal="right" vertical="center"/>
    </xf>
    <xf numFmtId="4" fontId="61" fillId="2" borderId="166">
      <alignment horizontal="right" vertical="center"/>
    </xf>
    <xf numFmtId="0" fontId="61" fillId="2" borderId="164">
      <alignment horizontal="right" vertical="center"/>
    </xf>
    <xf numFmtId="0" fontId="95" fillId="0" borderId="162" applyNumberFormat="0" applyFill="0" applyAlignment="0" applyProtection="0"/>
    <xf numFmtId="0" fontId="7" fillId="67" borderId="163" applyNumberFormat="0" applyFont="0" applyAlignment="0" applyProtection="0"/>
    <xf numFmtId="0" fontId="61" fillId="2" borderId="164">
      <alignment horizontal="right" vertical="center"/>
    </xf>
    <xf numFmtId="0" fontId="63" fillId="42" borderId="164"/>
    <xf numFmtId="0" fontId="92" fillId="64" borderId="160" applyNumberFormat="0" applyAlignment="0" applyProtection="0"/>
    <xf numFmtId="0" fontId="76" fillId="64" borderId="161" applyNumberFormat="0" applyAlignment="0" applyProtection="0"/>
    <xf numFmtId="0" fontId="75" fillId="64" borderId="161" applyNumberFormat="0" applyAlignment="0" applyProtection="0"/>
    <xf numFmtId="0" fontId="79" fillId="51" borderId="161" applyNumberFormat="0" applyAlignment="0" applyProtection="0"/>
    <xf numFmtId="0" fontId="79" fillId="51" borderId="161" applyNumberFormat="0" applyAlignment="0" applyProtection="0"/>
    <xf numFmtId="0" fontId="63" fillId="0" borderId="167">
      <alignment horizontal="left" vertical="center" wrapText="1" indent="2"/>
    </xf>
    <xf numFmtId="4" fontId="61" fillId="2" borderId="165">
      <alignment horizontal="right" vertical="center"/>
    </xf>
    <xf numFmtId="4" fontId="63" fillId="0" borderId="164">
      <alignment horizontal="right" vertical="center"/>
    </xf>
    <xf numFmtId="49" fontId="62" fillId="0" borderId="164" applyNumberFormat="0" applyFill="0" applyBorder="0" applyProtection="0">
      <alignment horizontal="left" vertical="center"/>
    </xf>
    <xf numFmtId="4" fontId="63" fillId="0" borderId="164">
      <alignment horizontal="right" vertical="center"/>
    </xf>
    <xf numFmtId="0" fontId="92" fillId="64" borderId="160" applyNumberFormat="0" applyAlignment="0" applyProtection="0"/>
    <xf numFmtId="0" fontId="80" fillId="0" borderId="162" applyNumberFormat="0" applyFill="0" applyAlignment="0" applyProtection="0"/>
    <xf numFmtId="0" fontId="63" fillId="0" borderId="167">
      <alignment horizontal="left" vertical="center" wrapText="1" indent="2"/>
    </xf>
    <xf numFmtId="0" fontId="59" fillId="25" borderId="0" applyNumberFormat="0" applyBorder="0" applyAlignment="0" applyProtection="0"/>
    <xf numFmtId="4" fontId="61" fillId="2" borderId="165">
      <alignment horizontal="right" vertical="center"/>
    </xf>
    <xf numFmtId="0" fontId="95" fillId="0" borderId="162" applyNumberFormat="0" applyFill="0" applyAlignment="0" applyProtection="0"/>
    <xf numFmtId="4" fontId="61" fillId="41" borderId="164">
      <alignment horizontal="right" vertical="center"/>
    </xf>
    <xf numFmtId="0" fontId="63" fillId="0" borderId="164">
      <alignment horizontal="right" vertical="center"/>
    </xf>
    <xf numFmtId="4" fontId="63" fillId="42" borderId="164"/>
    <xf numFmtId="0" fontId="61" fillId="2" borderId="165">
      <alignment horizontal="right" vertical="center"/>
    </xf>
    <xf numFmtId="0" fontId="95" fillId="0" borderId="162" applyNumberFormat="0" applyFill="0" applyAlignment="0" applyProtection="0"/>
    <xf numFmtId="0" fontId="63" fillId="0" borderId="167">
      <alignment horizontal="left" vertical="center" wrapText="1" indent="2"/>
    </xf>
    <xf numFmtId="0" fontId="63" fillId="0" borderId="164" applyNumberFormat="0" applyFill="0" applyAlignment="0" applyProtection="0"/>
    <xf numFmtId="0" fontId="63" fillId="42" borderId="164"/>
    <xf numFmtId="0" fontId="88" fillId="51" borderId="161" applyNumberFormat="0" applyAlignment="0" applyProtection="0"/>
    <xf numFmtId="0" fontId="61" fillId="2" borderId="164">
      <alignment horizontal="right" vertical="center"/>
    </xf>
    <xf numFmtId="4" fontId="61" fillId="2" borderId="164">
      <alignment horizontal="right" vertical="center"/>
    </xf>
    <xf numFmtId="0" fontId="61" fillId="41" borderId="164">
      <alignment horizontal="right" vertical="center"/>
    </xf>
    <xf numFmtId="0" fontId="76" fillId="64" borderId="161" applyNumberFormat="0" applyAlignment="0" applyProtection="0"/>
    <xf numFmtId="0" fontId="95" fillId="0" borderId="162" applyNumberFormat="0" applyFill="0" applyAlignment="0" applyProtection="0"/>
    <xf numFmtId="0" fontId="92" fillId="64" borderId="160" applyNumberFormat="0" applyAlignment="0" applyProtection="0"/>
    <xf numFmtId="0" fontId="63" fillId="0" borderId="167">
      <alignment horizontal="left" vertical="center" wrapText="1" indent="2"/>
    </xf>
    <xf numFmtId="0" fontId="63" fillId="41" borderId="165">
      <alignment horizontal="left" vertical="center"/>
    </xf>
    <xf numFmtId="0" fontId="63" fillId="0" borderId="164" applyNumberFormat="0" applyFill="0" applyAlignment="0" applyProtection="0"/>
    <xf numFmtId="49" fontId="62" fillId="0" borderId="164" applyNumberFormat="0" applyFill="0" applyBorder="0" applyProtection="0">
      <alignment horizontal="left" vertical="center"/>
    </xf>
    <xf numFmtId="0" fontId="76" fillId="64" borderId="161" applyNumberFormat="0" applyAlignment="0" applyProtection="0"/>
    <xf numFmtId="0" fontId="75" fillId="64" borderId="161" applyNumberFormat="0" applyAlignment="0" applyProtection="0"/>
    <xf numFmtId="0" fontId="63" fillId="0" borderId="164">
      <alignment horizontal="right" vertical="center"/>
    </xf>
    <xf numFmtId="0" fontId="92" fillId="64" borderId="160" applyNumberFormat="0" applyAlignment="0" applyProtection="0"/>
    <xf numFmtId="4" fontId="63" fillId="0" borderId="164" applyFill="0" applyBorder="0" applyProtection="0">
      <alignment horizontal="right" vertical="center"/>
    </xf>
    <xf numFmtId="0" fontId="73" fillId="64" borderId="160" applyNumberFormat="0" applyAlignment="0" applyProtection="0"/>
    <xf numFmtId="0" fontId="76" fillId="64" borderId="161" applyNumberFormat="0" applyAlignment="0" applyProtection="0"/>
    <xf numFmtId="0" fontId="63" fillId="42" borderId="164"/>
    <xf numFmtId="0" fontId="75" fillId="64" borderId="161" applyNumberFormat="0" applyAlignment="0" applyProtection="0"/>
    <xf numFmtId="0" fontId="61" fillId="2" borderId="164">
      <alignment horizontal="right" vertical="center"/>
    </xf>
    <xf numFmtId="0" fontId="61" fillId="2" borderId="166">
      <alignment horizontal="right" vertical="center"/>
    </xf>
    <xf numFmtId="0" fontId="61" fillId="2" borderId="166">
      <alignment horizontal="right" vertical="center"/>
    </xf>
    <xf numFmtId="0" fontId="63" fillId="0" borderId="167">
      <alignment horizontal="left" vertical="center" wrapText="1" indent="2"/>
    </xf>
    <xf numFmtId="0" fontId="76" fillId="64" borderId="161" applyNumberFormat="0" applyAlignment="0" applyProtection="0"/>
    <xf numFmtId="0" fontId="61" fillId="2" borderId="166">
      <alignment horizontal="right" vertical="center"/>
    </xf>
    <xf numFmtId="0" fontId="61" fillId="2" borderId="165">
      <alignment horizontal="right" vertical="center"/>
    </xf>
    <xf numFmtId="0" fontId="61" fillId="2" borderId="164">
      <alignment horizontal="right" vertical="center"/>
    </xf>
    <xf numFmtId="0" fontId="61" fillId="2" borderId="164">
      <alignment horizontal="right" vertical="center"/>
    </xf>
    <xf numFmtId="0" fontId="65" fillId="41" borderId="164">
      <alignment horizontal="right" vertical="center"/>
    </xf>
    <xf numFmtId="0" fontId="70" fillId="67" borderId="163" applyNumberFormat="0" applyFont="0" applyAlignment="0" applyProtection="0"/>
    <xf numFmtId="0" fontId="76" fillId="64" borderId="161" applyNumberFormat="0" applyAlignment="0" applyProtection="0"/>
    <xf numFmtId="0" fontId="75" fillId="64" borderId="161" applyNumberFormat="0" applyAlignment="0" applyProtection="0"/>
    <xf numFmtId="0" fontId="95" fillId="0" borderId="162" applyNumberFormat="0" applyFill="0" applyAlignment="0" applyProtection="0"/>
    <xf numFmtId="4" fontId="63" fillId="42" borderId="164"/>
    <xf numFmtId="0" fontId="92" fillId="64" borderId="160" applyNumberFormat="0" applyAlignment="0" applyProtection="0"/>
    <xf numFmtId="0" fontId="61" fillId="2" borderId="164">
      <alignment horizontal="right" vertical="center"/>
    </xf>
    <xf numFmtId="0" fontId="76" fillId="64" borderId="161" applyNumberFormat="0" applyAlignment="0" applyProtection="0"/>
    <xf numFmtId="4" fontId="63" fillId="42" borderId="164"/>
    <xf numFmtId="49" fontId="63" fillId="0" borderId="165" applyNumberFormat="0" applyFont="0" applyFill="0" applyBorder="0" applyProtection="0">
      <alignment horizontal="left" vertical="center" indent="5"/>
    </xf>
    <xf numFmtId="0" fontId="79" fillId="51" borderId="161" applyNumberFormat="0" applyAlignment="0" applyProtection="0"/>
    <xf numFmtId="0" fontId="75" fillId="64" borderId="161" applyNumberFormat="0" applyAlignment="0" applyProtection="0"/>
    <xf numFmtId="0" fontId="70" fillId="67" borderId="163" applyNumberFormat="0" applyFont="0" applyAlignment="0" applyProtection="0"/>
    <xf numFmtId="0" fontId="88" fillId="51" borderId="161" applyNumberFormat="0" applyAlignment="0" applyProtection="0"/>
    <xf numFmtId="4" fontId="61" fillId="41" borderId="164">
      <alignment horizontal="right" vertical="center"/>
    </xf>
    <xf numFmtId="0" fontId="63" fillId="2" borderId="167">
      <alignment horizontal="left" vertical="center" wrapText="1" indent="2"/>
    </xf>
    <xf numFmtId="170" fontId="63" fillId="68" borderId="164" applyNumberFormat="0" applyFont="0" applyBorder="0" applyAlignment="0" applyProtection="0">
      <alignment horizontal="right" vertical="center"/>
    </xf>
    <xf numFmtId="0" fontId="61" fillId="2" borderId="166">
      <alignment horizontal="right" vertical="center"/>
    </xf>
    <xf numFmtId="0" fontId="61" fillId="2" borderId="166">
      <alignment horizontal="right" vertical="center"/>
    </xf>
    <xf numFmtId="0" fontId="63" fillId="0" borderId="164" applyNumberFormat="0" applyFill="0" applyAlignment="0" applyProtection="0"/>
    <xf numFmtId="4" fontId="61" fillId="2" borderId="166">
      <alignment horizontal="right" vertical="center"/>
    </xf>
    <xf numFmtId="0" fontId="61" fillId="2" borderId="164">
      <alignment horizontal="right" vertical="center"/>
    </xf>
    <xf numFmtId="49" fontId="63" fillId="0" borderId="164" applyNumberFormat="0" applyFont="0" applyFill="0" applyBorder="0" applyProtection="0">
      <alignment horizontal="left" vertical="center" indent="2"/>
    </xf>
    <xf numFmtId="0" fontId="76" fillId="64" borderId="161" applyNumberFormat="0" applyAlignment="0" applyProtection="0"/>
    <xf numFmtId="0" fontId="59" fillId="28" borderId="0" applyNumberFormat="0" applyBorder="0" applyAlignment="0" applyProtection="0"/>
    <xf numFmtId="0" fontId="61" fillId="2" borderId="166">
      <alignment horizontal="right" vertical="center"/>
    </xf>
    <xf numFmtId="4" fontId="63" fillId="0" borderId="164">
      <alignment horizontal="right" vertical="center"/>
    </xf>
    <xf numFmtId="0" fontId="92" fillId="64" borderId="160" applyNumberFormat="0" applyAlignment="0" applyProtection="0"/>
    <xf numFmtId="170" fontId="63" fillId="68" borderId="164" applyNumberFormat="0" applyFont="0" applyBorder="0" applyAlignment="0" applyProtection="0">
      <alignment horizontal="right" vertical="center"/>
    </xf>
    <xf numFmtId="0" fontId="63" fillId="41" borderId="165">
      <alignment horizontal="left" vertical="center"/>
    </xf>
    <xf numFmtId="0" fontId="63" fillId="2" borderId="167">
      <alignment horizontal="left" vertical="center" wrapText="1" indent="2"/>
    </xf>
    <xf numFmtId="4" fontId="61" fillId="2" borderId="166">
      <alignment horizontal="right" vertical="center"/>
    </xf>
    <xf numFmtId="0" fontId="65" fillId="41" borderId="164">
      <alignment horizontal="right" vertical="center"/>
    </xf>
    <xf numFmtId="4" fontId="61" fillId="2" borderId="164">
      <alignment horizontal="right" vertical="center"/>
    </xf>
    <xf numFmtId="0" fontId="61" fillId="2" borderId="164">
      <alignment horizontal="right" vertical="center"/>
    </xf>
    <xf numFmtId="4" fontId="65" fillId="41" borderId="164">
      <alignment horizontal="right" vertical="center"/>
    </xf>
    <xf numFmtId="0" fontId="70" fillId="67" borderId="163" applyNumberFormat="0" applyFont="0" applyAlignment="0" applyProtection="0"/>
    <xf numFmtId="0" fontId="92" fillId="64" borderId="160" applyNumberFormat="0" applyAlignment="0" applyProtection="0"/>
    <xf numFmtId="0" fontId="88" fillId="51" borderId="161" applyNumberFormat="0" applyAlignment="0" applyProtection="0"/>
    <xf numFmtId="0" fontId="70" fillId="67" borderId="163" applyNumberFormat="0" applyFont="0" applyAlignment="0" applyProtection="0"/>
    <xf numFmtId="0" fontId="7" fillId="67" borderId="163" applyNumberFormat="0" applyFont="0" applyAlignment="0" applyProtection="0"/>
    <xf numFmtId="4" fontId="61" fillId="41" borderId="164">
      <alignment horizontal="right" vertical="center"/>
    </xf>
    <xf numFmtId="0" fontId="73" fillId="64" borderId="160" applyNumberFormat="0" applyAlignment="0" applyProtection="0"/>
    <xf numFmtId="4" fontId="61" fillId="41" borderId="164">
      <alignment horizontal="right" vertical="center"/>
    </xf>
    <xf numFmtId="0" fontId="61" fillId="2" borderId="164">
      <alignment horizontal="right" vertical="center"/>
    </xf>
    <xf numFmtId="49" fontId="63" fillId="0" borderId="165" applyNumberFormat="0" applyFont="0" applyFill="0" applyBorder="0" applyProtection="0">
      <alignment horizontal="left" vertical="center" indent="5"/>
    </xf>
    <xf numFmtId="0" fontId="63" fillId="0" borderId="167">
      <alignment horizontal="left" vertical="center" wrapText="1" indent="2"/>
    </xf>
    <xf numFmtId="0" fontId="88" fillId="51" borderId="161" applyNumberFormat="0" applyAlignment="0" applyProtection="0"/>
    <xf numFmtId="4" fontId="61" fillId="2" borderId="164">
      <alignment horizontal="right" vertical="center"/>
    </xf>
    <xf numFmtId="0" fontId="63" fillId="42" borderId="164"/>
    <xf numFmtId="0" fontId="92" fillId="64" borderId="160" applyNumberFormat="0" applyAlignment="0" applyProtection="0"/>
    <xf numFmtId="0" fontId="63" fillId="0" borderId="167">
      <alignment horizontal="left" vertical="center" wrapText="1" indent="2"/>
    </xf>
    <xf numFmtId="0" fontId="63" fillId="2" borderId="167">
      <alignment horizontal="left" vertical="center" wrapText="1" indent="2"/>
    </xf>
    <xf numFmtId="0" fontId="63" fillId="41" borderId="165">
      <alignment horizontal="left" vertical="center"/>
    </xf>
    <xf numFmtId="49" fontId="62" fillId="0" borderId="164" applyNumberFormat="0" applyFill="0" applyBorder="0" applyProtection="0">
      <alignment horizontal="left" vertical="center"/>
    </xf>
    <xf numFmtId="0" fontId="95" fillId="0" borderId="162" applyNumberFormat="0" applyFill="0" applyAlignment="0" applyProtection="0"/>
    <xf numFmtId="49" fontId="63" fillId="0" borderId="164" applyNumberFormat="0" applyFont="0" applyFill="0" applyBorder="0" applyProtection="0">
      <alignment horizontal="left" vertical="center" indent="2"/>
    </xf>
    <xf numFmtId="0" fontId="63" fillId="0" borderId="167">
      <alignment horizontal="left" vertical="center" wrapText="1" indent="2"/>
    </xf>
    <xf numFmtId="4" fontId="63" fillId="0" borderId="164" applyFill="0" applyBorder="0" applyProtection="0">
      <alignment horizontal="right" vertical="center"/>
    </xf>
    <xf numFmtId="0" fontId="63" fillId="41" borderId="165">
      <alignment horizontal="left" vertical="center"/>
    </xf>
    <xf numFmtId="0" fontId="61" fillId="2" borderId="164">
      <alignment horizontal="right" vertical="center"/>
    </xf>
    <xf numFmtId="0" fontId="63" fillId="0" borderId="164" applyNumberFormat="0" applyFill="0" applyAlignment="0" applyProtection="0"/>
    <xf numFmtId="49" fontId="63" fillId="0" borderId="164" applyNumberFormat="0" applyFont="0" applyFill="0" applyBorder="0" applyProtection="0">
      <alignment horizontal="left" vertical="center" indent="2"/>
    </xf>
    <xf numFmtId="0" fontId="59" fillId="37" borderId="0" applyNumberFormat="0" applyBorder="0" applyAlignment="0" applyProtection="0"/>
    <xf numFmtId="4" fontId="63" fillId="0" borderId="164">
      <alignment horizontal="right" vertical="center"/>
    </xf>
    <xf numFmtId="0" fontId="70" fillId="67" borderId="163" applyNumberFormat="0" applyFont="0" applyAlignment="0" applyProtection="0"/>
    <xf numFmtId="0" fontId="63" fillId="0" borderId="164">
      <alignment horizontal="right" vertical="center"/>
    </xf>
    <xf numFmtId="0" fontId="61" fillId="2" borderId="164">
      <alignment horizontal="right" vertical="center"/>
    </xf>
    <xf numFmtId="4" fontId="61" fillId="2" borderId="164">
      <alignment horizontal="right" vertical="center"/>
    </xf>
    <xf numFmtId="0" fontId="63" fillId="2" borderId="167">
      <alignment horizontal="left" vertical="center" wrapText="1" indent="2"/>
    </xf>
    <xf numFmtId="0" fontId="1" fillId="27" borderId="0" applyNumberFormat="0" applyBorder="0" applyAlignment="0" applyProtection="0"/>
    <xf numFmtId="0" fontId="63" fillId="42" borderId="164"/>
    <xf numFmtId="0" fontId="76" fillId="64" borderId="161" applyNumberFormat="0" applyAlignment="0" applyProtection="0"/>
    <xf numFmtId="4" fontId="63" fillId="0" borderId="164" applyFill="0" applyBorder="0" applyProtection="0">
      <alignment horizontal="right" vertical="center"/>
    </xf>
    <xf numFmtId="0" fontId="75" fillId="64" borderId="161" applyNumberFormat="0" applyAlignment="0" applyProtection="0"/>
    <xf numFmtId="0" fontId="95" fillId="0" borderId="162" applyNumberFormat="0" applyFill="0" applyAlignment="0" applyProtection="0"/>
    <xf numFmtId="49" fontId="62" fillId="0" borderId="164" applyNumberFormat="0" applyFill="0" applyBorder="0" applyProtection="0">
      <alignment horizontal="left" vertical="center"/>
    </xf>
    <xf numFmtId="0" fontId="1" fillId="32" borderId="0" applyNumberFormat="0" applyBorder="0" applyAlignment="0" applyProtection="0"/>
    <xf numFmtId="0" fontId="63" fillId="0" borderId="167">
      <alignment horizontal="left" vertical="center" wrapText="1" indent="2"/>
    </xf>
    <xf numFmtId="0" fontId="59" fillId="40" borderId="0" applyNumberFormat="0" applyBorder="0" applyAlignment="0" applyProtection="0"/>
    <xf numFmtId="0" fontId="7" fillId="67" borderId="163" applyNumberFormat="0" applyFont="0" applyAlignment="0" applyProtection="0"/>
    <xf numFmtId="0" fontId="61" fillId="41" borderId="164">
      <alignment horizontal="right" vertical="center"/>
    </xf>
    <xf numFmtId="4" fontId="65" fillId="41" borderId="164">
      <alignment horizontal="right" vertical="center"/>
    </xf>
    <xf numFmtId="170" fontId="63" fillId="68" borderId="164" applyNumberFormat="0" applyFont="0" applyBorder="0" applyAlignment="0" applyProtection="0">
      <alignment horizontal="right" vertical="center"/>
    </xf>
    <xf numFmtId="0" fontId="7" fillId="67" borderId="163" applyNumberFormat="0" applyFont="0" applyAlignment="0" applyProtection="0"/>
    <xf numFmtId="0" fontId="88" fillId="51" borderId="161" applyNumberFormat="0" applyAlignment="0" applyProtection="0"/>
    <xf numFmtId="0" fontId="88" fillId="51" borderId="161" applyNumberFormat="0" applyAlignment="0" applyProtection="0"/>
    <xf numFmtId="0" fontId="95" fillId="0" borderId="162" applyNumberFormat="0" applyFill="0" applyAlignment="0" applyProtection="0"/>
    <xf numFmtId="49" fontId="62" fillId="0" borderId="164" applyNumberFormat="0" applyFill="0" applyBorder="0" applyProtection="0">
      <alignment horizontal="left" vertical="center"/>
    </xf>
    <xf numFmtId="0" fontId="61" fillId="2" borderId="165">
      <alignment horizontal="right" vertical="center"/>
    </xf>
    <xf numFmtId="0" fontId="63" fillId="0" borderId="164">
      <alignment horizontal="right" vertical="center"/>
    </xf>
    <xf numFmtId="0" fontId="80" fillId="0" borderId="162" applyNumberFormat="0" applyFill="0" applyAlignment="0" applyProtection="0"/>
    <xf numFmtId="0" fontId="7" fillId="67" borderId="163" applyNumberFormat="0" applyFont="0" applyAlignment="0" applyProtection="0"/>
    <xf numFmtId="0" fontId="95" fillId="0" borderId="162" applyNumberFormat="0" applyFill="0" applyAlignment="0" applyProtection="0"/>
    <xf numFmtId="0" fontId="76" fillId="64" borderId="161" applyNumberFormat="0" applyAlignment="0" applyProtection="0"/>
    <xf numFmtId="0" fontId="1" fillId="24" borderId="0" applyNumberFormat="0" applyBorder="0" applyAlignment="0" applyProtection="0"/>
    <xf numFmtId="170" fontId="63" fillId="68" borderId="164" applyNumberFormat="0" applyFont="0" applyBorder="0" applyAlignment="0" applyProtection="0">
      <alignment horizontal="right" vertical="center"/>
    </xf>
    <xf numFmtId="0" fontId="95" fillId="0" borderId="162" applyNumberFormat="0" applyFill="0" applyAlignment="0" applyProtection="0"/>
    <xf numFmtId="49" fontId="63" fillId="0" borderId="164" applyNumberFormat="0" applyFont="0" applyFill="0" applyBorder="0" applyProtection="0">
      <alignment horizontal="left" vertical="center" indent="2"/>
    </xf>
    <xf numFmtId="0" fontId="57" fillId="0" borderId="0" applyNumberFormat="0" applyFill="0" applyBorder="0" applyAlignment="0" applyProtection="0"/>
    <xf numFmtId="4" fontId="63" fillId="0" borderId="164">
      <alignment horizontal="right" vertical="center"/>
    </xf>
    <xf numFmtId="0" fontId="80" fillId="0" borderId="162" applyNumberFormat="0" applyFill="0" applyAlignment="0" applyProtection="0"/>
    <xf numFmtId="0" fontId="88" fillId="51" borderId="161" applyNumberFormat="0" applyAlignment="0" applyProtection="0"/>
    <xf numFmtId="0" fontId="59" fillId="31" borderId="0" applyNumberFormat="0" applyBorder="0" applyAlignment="0" applyProtection="0"/>
    <xf numFmtId="4" fontId="63" fillId="0" borderId="164" applyFill="0" applyBorder="0" applyProtection="0">
      <alignment horizontal="right" vertical="center"/>
    </xf>
    <xf numFmtId="0" fontId="63" fillId="41" borderId="165">
      <alignment horizontal="left" vertical="center"/>
    </xf>
    <xf numFmtId="0" fontId="79" fillId="51" borderId="161" applyNumberFormat="0" applyAlignment="0" applyProtection="0"/>
    <xf numFmtId="0" fontId="65" fillId="41" borderId="164">
      <alignment horizontal="right" vertical="center"/>
    </xf>
    <xf numFmtId="4" fontId="63" fillId="42" borderId="164"/>
    <xf numFmtId="0" fontId="63" fillId="2" borderId="167">
      <alignment horizontal="left" vertical="center" wrapText="1" indent="2"/>
    </xf>
    <xf numFmtId="49" fontId="63" fillId="0" borderId="164" applyNumberFormat="0" applyFont="0" applyFill="0" applyBorder="0" applyProtection="0">
      <alignment horizontal="left" vertical="center" indent="2"/>
    </xf>
    <xf numFmtId="0" fontId="88" fillId="51" borderId="161" applyNumberFormat="0" applyAlignment="0" applyProtection="0"/>
    <xf numFmtId="0" fontId="1" fillId="35" borderId="0" applyNumberFormat="0" applyBorder="0" applyAlignment="0" applyProtection="0"/>
    <xf numFmtId="0" fontId="65" fillId="41" borderId="164">
      <alignment horizontal="right" vertical="center"/>
    </xf>
    <xf numFmtId="0" fontId="79" fillId="51" borderId="161" applyNumberFormat="0" applyAlignment="0" applyProtection="0"/>
    <xf numFmtId="170" fontId="63" fillId="68" borderId="164" applyNumberFormat="0" applyFont="0" applyBorder="0" applyAlignment="0" applyProtection="0">
      <alignment horizontal="right" vertical="center"/>
    </xf>
    <xf numFmtId="0" fontId="79" fillId="51" borderId="161" applyNumberFormat="0" applyAlignment="0" applyProtection="0"/>
    <xf numFmtId="4" fontId="63" fillId="0" borderId="164">
      <alignment horizontal="right" vertical="center"/>
    </xf>
    <xf numFmtId="49" fontId="63" fillId="0" borderId="164" applyNumberFormat="0" applyFont="0" applyFill="0" applyBorder="0" applyProtection="0">
      <alignment horizontal="left" vertical="center" indent="2"/>
    </xf>
    <xf numFmtId="170" fontId="63" fillId="68" borderId="164" applyNumberFormat="0" applyFont="0" applyBorder="0" applyAlignment="0" applyProtection="0">
      <alignment horizontal="right" vertical="center"/>
    </xf>
    <xf numFmtId="49" fontId="62" fillId="0" borderId="164" applyNumberFormat="0" applyFill="0" applyBorder="0" applyProtection="0">
      <alignment horizontal="left" vertical="center"/>
    </xf>
    <xf numFmtId="4" fontId="61" fillId="2" borderId="164">
      <alignment horizontal="right" vertical="center"/>
    </xf>
    <xf numFmtId="0" fontId="61" fillId="2" borderId="164">
      <alignment horizontal="right" vertical="center"/>
    </xf>
    <xf numFmtId="0" fontId="63" fillId="0" borderId="164">
      <alignment horizontal="right" vertical="center"/>
    </xf>
    <xf numFmtId="0" fontId="63" fillId="0" borderId="164">
      <alignment horizontal="right" vertical="center"/>
    </xf>
    <xf numFmtId="0" fontId="1" fillId="38" borderId="0" applyNumberFormat="0" applyBorder="0" applyAlignment="0" applyProtection="0"/>
    <xf numFmtId="0" fontId="59" fillId="34" borderId="0" applyNumberFormat="0" applyBorder="0" applyAlignment="0" applyProtection="0"/>
    <xf numFmtId="0" fontId="1" fillId="29" borderId="0" applyNumberFormat="0" applyBorder="0" applyAlignment="0" applyProtection="0"/>
    <xf numFmtId="0" fontId="65" fillId="41" borderId="164">
      <alignment horizontal="right" vertical="center"/>
    </xf>
    <xf numFmtId="4" fontId="61" fillId="2" borderId="166">
      <alignment horizontal="right" vertical="center"/>
    </xf>
    <xf numFmtId="0" fontId="63" fillId="2" borderId="167">
      <alignment horizontal="left" vertical="center" wrapText="1" indent="2"/>
    </xf>
    <xf numFmtId="0" fontId="88" fillId="51" borderId="161" applyNumberFormat="0" applyAlignment="0" applyProtection="0"/>
    <xf numFmtId="0" fontId="88" fillId="51" borderId="161" applyNumberFormat="0" applyAlignment="0" applyProtection="0"/>
    <xf numFmtId="0" fontId="70" fillId="67" borderId="163" applyNumberFormat="0" applyFont="0" applyAlignment="0" applyProtection="0"/>
    <xf numFmtId="0" fontId="63" fillId="2" borderId="167">
      <alignment horizontal="left" vertical="center" wrapText="1" indent="2"/>
    </xf>
    <xf numFmtId="0" fontId="70" fillId="67" borderId="163" applyNumberFormat="0" applyFont="0" applyAlignment="0" applyProtection="0"/>
    <xf numFmtId="0" fontId="63" fillId="0" borderId="164" applyNumberFormat="0" applyFill="0" applyAlignment="0" applyProtection="0"/>
    <xf numFmtId="0" fontId="92" fillId="64" borderId="160" applyNumberFormat="0" applyAlignment="0" applyProtection="0"/>
    <xf numFmtId="4" fontId="61" fillId="2" borderId="164">
      <alignment horizontal="right" vertical="center"/>
    </xf>
    <xf numFmtId="4" fontId="63" fillId="42" borderId="164"/>
    <xf numFmtId="0" fontId="95" fillId="0" borderId="162" applyNumberFormat="0" applyFill="0" applyAlignment="0" applyProtection="0"/>
    <xf numFmtId="0" fontId="73" fillId="64" borderId="160" applyNumberFormat="0" applyAlignment="0" applyProtection="0"/>
    <xf numFmtId="0" fontId="75" fillId="64" borderId="161" applyNumberFormat="0" applyAlignment="0" applyProtection="0"/>
    <xf numFmtId="0" fontId="76" fillId="64" borderId="161" applyNumberFormat="0" applyAlignment="0" applyProtection="0"/>
    <xf numFmtId="0" fontId="92" fillId="64" borderId="160" applyNumberFormat="0" applyAlignment="0" applyProtection="0"/>
    <xf numFmtId="4" fontId="63" fillId="0" borderId="164" applyFill="0" applyBorder="0" applyProtection="0">
      <alignment horizontal="right" vertical="center"/>
    </xf>
    <xf numFmtId="0" fontId="88" fillId="51" borderId="161" applyNumberFormat="0" applyAlignment="0" applyProtection="0"/>
    <xf numFmtId="0" fontId="61" fillId="41" borderId="164">
      <alignment horizontal="right" vertical="center"/>
    </xf>
    <xf numFmtId="0" fontId="58" fillId="0" borderId="145" applyNumberFormat="0" applyFill="0" applyAlignment="0" applyProtection="0"/>
    <xf numFmtId="0" fontId="95" fillId="0" borderId="162" applyNumberFormat="0" applyFill="0" applyAlignment="0" applyProtection="0"/>
    <xf numFmtId="4" fontId="61" fillId="2" borderId="164">
      <alignment horizontal="right" vertical="center"/>
    </xf>
    <xf numFmtId="0" fontId="63" fillId="2" borderId="167">
      <alignment horizontal="left" vertical="center" wrapText="1" indent="2"/>
    </xf>
    <xf numFmtId="0" fontId="76" fillId="64" borderId="161" applyNumberFormat="0" applyAlignment="0" applyProtection="0"/>
    <xf numFmtId="0" fontId="61" fillId="2" borderId="164">
      <alignment horizontal="right" vertical="center"/>
    </xf>
    <xf numFmtId="170" fontId="63" fillId="68" borderId="164" applyNumberFormat="0" applyFont="0" applyBorder="0" applyAlignment="0" applyProtection="0">
      <alignment horizontal="right" vertical="center"/>
    </xf>
    <xf numFmtId="0" fontId="7" fillId="67" borderId="163" applyNumberFormat="0" applyFont="0" applyAlignment="0" applyProtection="0"/>
    <xf numFmtId="0" fontId="63" fillId="2" borderId="167">
      <alignment horizontal="left" vertical="center" wrapText="1" indent="2"/>
    </xf>
    <xf numFmtId="0" fontId="88" fillId="51" borderId="161" applyNumberFormat="0" applyAlignment="0" applyProtection="0"/>
    <xf numFmtId="0" fontId="95" fillId="0" borderId="162" applyNumberFormat="0" applyFill="0" applyAlignment="0" applyProtection="0"/>
    <xf numFmtId="0" fontId="88" fillId="51" borderId="161" applyNumberFormat="0" applyAlignment="0" applyProtection="0"/>
    <xf numFmtId="0" fontId="80" fillId="0" borderId="162" applyNumberFormat="0" applyFill="0" applyAlignment="0" applyProtection="0"/>
    <xf numFmtId="0" fontId="61" fillId="41" borderId="164">
      <alignment horizontal="right" vertical="center"/>
    </xf>
    <xf numFmtId="0" fontId="70" fillId="67" borderId="163" applyNumberFormat="0" applyFont="0" applyAlignment="0" applyProtection="0"/>
    <xf numFmtId="0" fontId="79" fillId="51" borderId="161" applyNumberFormat="0" applyAlignment="0" applyProtection="0"/>
    <xf numFmtId="0" fontId="63" fillId="0" borderId="167">
      <alignment horizontal="left" vertical="center" wrapText="1" indent="2"/>
    </xf>
    <xf numFmtId="4" fontId="61" fillId="2" borderId="164">
      <alignment horizontal="right" vertical="center"/>
    </xf>
    <xf numFmtId="0" fontId="70" fillId="67" borderId="163" applyNumberFormat="0" applyFont="0" applyAlignment="0" applyProtection="0"/>
    <xf numFmtId="0" fontId="73" fillId="64" borderId="160" applyNumberFormat="0" applyAlignment="0" applyProtection="0"/>
    <xf numFmtId="0" fontId="1" fillId="36" borderId="0" applyNumberFormat="0" applyBorder="0" applyAlignment="0" applyProtection="0"/>
    <xf numFmtId="0" fontId="76" fillId="64" borderId="161" applyNumberFormat="0" applyAlignment="0" applyProtection="0"/>
    <xf numFmtId="0" fontId="88" fillId="51" borderId="161" applyNumberFormat="0" applyAlignment="0" applyProtection="0"/>
    <xf numFmtId="4" fontId="63" fillId="0" borderId="164">
      <alignment horizontal="right" vertical="center"/>
    </xf>
    <xf numFmtId="4" fontId="65" fillId="41" borderId="164">
      <alignment horizontal="right" vertical="center"/>
    </xf>
    <xf numFmtId="0" fontId="76" fillId="64" borderId="161" applyNumberFormat="0" applyAlignment="0" applyProtection="0"/>
    <xf numFmtId="0" fontId="1" fillId="26" borderId="0" applyNumberFormat="0" applyBorder="0" applyAlignment="0" applyProtection="0"/>
    <xf numFmtId="4" fontId="61" fillId="2" borderId="164">
      <alignment horizontal="right" vertical="center"/>
    </xf>
    <xf numFmtId="0" fontId="63" fillId="0" borderId="164" applyNumberFormat="0" applyFill="0" applyAlignment="0" applyProtection="0"/>
    <xf numFmtId="0" fontId="63" fillId="42" borderId="164"/>
    <xf numFmtId="0" fontId="92" fillId="64" borderId="160" applyNumberFormat="0" applyAlignment="0" applyProtection="0"/>
    <xf numFmtId="4" fontId="63" fillId="0" borderId="164" applyFill="0" applyBorder="0" applyProtection="0">
      <alignment horizontal="right" vertical="center"/>
    </xf>
    <xf numFmtId="0" fontId="63" fillId="2" borderId="167">
      <alignment horizontal="left" vertical="center" wrapText="1" indent="2"/>
    </xf>
    <xf numFmtId="0" fontId="1" fillId="39" borderId="0" applyNumberFormat="0" applyBorder="0" applyAlignment="0" applyProtection="0"/>
    <xf numFmtId="0" fontId="95" fillId="0" borderId="162" applyNumberFormat="0" applyFill="0" applyAlignment="0" applyProtection="0"/>
    <xf numFmtId="4" fontId="65" fillId="41" borderId="164">
      <alignment horizontal="right" vertical="center"/>
    </xf>
    <xf numFmtId="0" fontId="65" fillId="41" borderId="164">
      <alignment horizontal="right" vertical="center"/>
    </xf>
    <xf numFmtId="0" fontId="63" fillId="0" borderId="164" applyNumberFormat="0" applyFill="0" applyAlignment="0" applyProtection="0"/>
    <xf numFmtId="0" fontId="70" fillId="67" borderId="163" applyNumberFormat="0" applyFont="0" applyAlignment="0" applyProtection="0"/>
    <xf numFmtId="0" fontId="92" fillId="64" borderId="160" applyNumberFormat="0" applyAlignment="0" applyProtection="0"/>
    <xf numFmtId="0" fontId="80" fillId="0" borderId="162" applyNumberFormat="0" applyFill="0" applyAlignment="0" applyProtection="0"/>
    <xf numFmtId="4" fontId="63" fillId="0" borderId="164" applyFill="0" applyBorder="0" applyProtection="0">
      <alignment horizontal="right" vertical="center"/>
    </xf>
    <xf numFmtId="4" fontId="61" fillId="2" borderId="164">
      <alignment horizontal="right" vertical="center"/>
    </xf>
    <xf numFmtId="0" fontId="88" fillId="51" borderId="161" applyNumberFormat="0" applyAlignment="0" applyProtection="0"/>
    <xf numFmtId="4" fontId="61" fillId="41" borderId="164">
      <alignment horizontal="right" vertical="center"/>
    </xf>
    <xf numFmtId="0" fontId="61" fillId="2" borderId="164">
      <alignment horizontal="right" vertical="center"/>
    </xf>
    <xf numFmtId="0" fontId="76" fillId="64" borderId="161" applyNumberFormat="0" applyAlignment="0" applyProtection="0"/>
    <xf numFmtId="0" fontId="63" fillId="2" borderId="167">
      <alignment horizontal="left" vertical="center" wrapText="1" indent="2"/>
    </xf>
    <xf numFmtId="0" fontId="1" fillId="23" borderId="0" applyNumberFormat="0" applyBorder="0" applyAlignment="0" applyProtection="0"/>
    <xf numFmtId="0" fontId="88" fillId="51" borderId="161" applyNumberFormat="0" applyAlignment="0" applyProtection="0"/>
    <xf numFmtId="0" fontId="92" fillId="64" borderId="160" applyNumberFormat="0" applyAlignment="0" applyProtection="0"/>
    <xf numFmtId="0" fontId="80" fillId="0" borderId="162" applyNumberFormat="0" applyFill="0" applyAlignment="0" applyProtection="0"/>
    <xf numFmtId="0" fontId="63" fillId="0" borderId="164">
      <alignment horizontal="right" vertical="center"/>
    </xf>
    <xf numFmtId="4" fontId="61" fillId="41" borderId="164">
      <alignment horizontal="right" vertical="center"/>
    </xf>
    <xf numFmtId="0" fontId="63" fillId="41" borderId="165">
      <alignment horizontal="left" vertical="center"/>
    </xf>
    <xf numFmtId="0" fontId="1" fillId="30" borderId="0" applyNumberFormat="0" applyBorder="0" applyAlignment="0" applyProtection="0"/>
    <xf numFmtId="0" fontId="63" fillId="0" borderId="164" applyNumberFormat="0" applyFill="0" applyAlignment="0" applyProtection="0"/>
    <xf numFmtId="0" fontId="63" fillId="0" borderId="167">
      <alignment horizontal="left" vertical="center" wrapText="1" indent="2"/>
    </xf>
    <xf numFmtId="49" fontId="63" fillId="0" borderId="165" applyNumberFormat="0" applyFont="0" applyFill="0" applyBorder="0" applyProtection="0">
      <alignment horizontal="left" vertical="center" indent="5"/>
    </xf>
    <xf numFmtId="0" fontId="61" fillId="2" borderId="166">
      <alignment horizontal="right" vertical="center"/>
    </xf>
    <xf numFmtId="0" fontId="61" fillId="2" borderId="166">
      <alignment horizontal="right" vertical="center"/>
    </xf>
    <xf numFmtId="0" fontId="95" fillId="0" borderId="162" applyNumberFormat="0" applyFill="0" applyAlignment="0" applyProtection="0"/>
    <xf numFmtId="0" fontId="75" fillId="64" borderId="161" applyNumberFormat="0" applyAlignment="0" applyProtection="0"/>
    <xf numFmtId="49" fontId="63" fillId="0" borderId="165" applyNumberFormat="0" applyFont="0" applyFill="0" applyBorder="0" applyProtection="0">
      <alignment horizontal="left" vertical="center" indent="5"/>
    </xf>
    <xf numFmtId="0" fontId="80" fillId="0" borderId="162" applyNumberFormat="0" applyFill="0" applyAlignment="0" applyProtection="0"/>
    <xf numFmtId="4" fontId="61" fillId="2" borderId="164">
      <alignment horizontal="right" vertical="center"/>
    </xf>
    <xf numFmtId="4" fontId="65" fillId="41" borderId="164">
      <alignment horizontal="right" vertical="center"/>
    </xf>
    <xf numFmtId="0" fontId="63" fillId="42" borderId="164"/>
    <xf numFmtId="0" fontId="76" fillId="64" borderId="161" applyNumberFormat="0" applyAlignment="0" applyProtection="0"/>
    <xf numFmtId="0" fontId="63" fillId="0" borderId="164">
      <alignment horizontal="right" vertical="center"/>
    </xf>
    <xf numFmtId="0" fontId="80" fillId="0" borderId="162" applyNumberFormat="0" applyFill="0" applyAlignment="0" applyProtection="0"/>
    <xf numFmtId="0" fontId="63" fillId="42" borderId="164"/>
    <xf numFmtId="4" fontId="63" fillId="0" borderId="164" applyFill="0" applyBorder="0" applyProtection="0">
      <alignment horizontal="right" vertical="center"/>
    </xf>
    <xf numFmtId="4" fontId="61" fillId="2" borderId="166">
      <alignment horizontal="right" vertical="center"/>
    </xf>
    <xf numFmtId="0" fontId="65" fillId="41" borderId="164">
      <alignment horizontal="right" vertical="center"/>
    </xf>
    <xf numFmtId="0" fontId="79" fillId="51" borderId="161" applyNumberFormat="0" applyAlignment="0" applyProtection="0"/>
    <xf numFmtId="0" fontId="76" fillId="64" borderId="161" applyNumberFormat="0" applyAlignment="0" applyProtection="0"/>
    <xf numFmtId="4" fontId="63" fillId="0" borderId="164">
      <alignment horizontal="right" vertical="center"/>
    </xf>
    <xf numFmtId="0" fontId="63" fillId="2" borderId="167">
      <alignment horizontal="left" vertical="center" wrapText="1" indent="2"/>
    </xf>
    <xf numFmtId="0" fontId="63" fillId="0" borderId="167">
      <alignment horizontal="left" vertical="center" wrapText="1" indent="2"/>
    </xf>
    <xf numFmtId="0" fontId="92" fillId="64" borderId="160" applyNumberFormat="0" applyAlignment="0" applyProtection="0"/>
    <xf numFmtId="0" fontId="88" fillId="51" borderId="161" applyNumberFormat="0" applyAlignment="0" applyProtection="0"/>
    <xf numFmtId="0" fontId="75" fillId="64" borderId="161" applyNumberFormat="0" applyAlignment="0" applyProtection="0"/>
    <xf numFmtId="0" fontId="73" fillId="64" borderId="160" applyNumberFormat="0" applyAlignment="0" applyProtection="0"/>
    <xf numFmtId="0" fontId="61" fillId="2" borderId="166">
      <alignment horizontal="right" vertical="center"/>
    </xf>
    <xf numFmtId="0" fontId="65" fillId="41" borderId="164">
      <alignment horizontal="right" vertical="center"/>
    </xf>
    <xf numFmtId="4" fontId="61" fillId="41" borderId="164">
      <alignment horizontal="right" vertical="center"/>
    </xf>
    <xf numFmtId="4" fontId="61" fillId="2" borderId="164">
      <alignment horizontal="right" vertical="center"/>
    </xf>
    <xf numFmtId="49" fontId="63" fillId="0" borderId="165" applyNumberFormat="0" applyFont="0" applyFill="0" applyBorder="0" applyProtection="0">
      <alignment horizontal="left" vertical="center" indent="5"/>
    </xf>
    <xf numFmtId="4" fontId="63" fillId="0" borderId="164" applyFill="0" applyBorder="0" applyProtection="0">
      <alignment horizontal="right" vertical="center"/>
    </xf>
    <xf numFmtId="4" fontId="61" fillId="41" borderId="164">
      <alignment horizontal="right" vertical="center"/>
    </xf>
    <xf numFmtId="0" fontId="88" fillId="51" borderId="161" applyNumberFormat="0" applyAlignment="0" applyProtection="0"/>
    <xf numFmtId="0" fontId="79" fillId="51" borderId="161" applyNumberFormat="0" applyAlignment="0" applyProtection="0"/>
    <xf numFmtId="0" fontId="75" fillId="64" borderId="161" applyNumberFormat="0" applyAlignment="0" applyProtection="0"/>
    <xf numFmtId="0" fontId="63" fillId="2" borderId="167">
      <alignment horizontal="left" vertical="center" wrapText="1" indent="2"/>
    </xf>
    <xf numFmtId="0" fontId="63" fillId="0" borderId="167">
      <alignment horizontal="left" vertical="center" wrapText="1" indent="2"/>
    </xf>
    <xf numFmtId="0" fontId="63" fillId="2" borderId="167">
      <alignment horizontal="left" vertical="center" wrapText="1" indent="2"/>
    </xf>
  </cellStyleXfs>
  <cellXfs count="609">
    <xf numFmtId="0" fontId="0" fillId="0" borderId="0" xfId="0"/>
    <xf numFmtId="0" fontId="22" fillId="3" borderId="0" xfId="0" applyFont="1" applyFill="1" applyBorder="1"/>
    <xf numFmtId="0" fontId="22" fillId="3" borderId="0" xfId="0" applyFont="1" applyFill="1"/>
    <xf numFmtId="0" fontId="0" fillId="3" borderId="0" xfId="0" applyFill="1"/>
    <xf numFmtId="0" fontId="23" fillId="3" borderId="0" xfId="0" applyFont="1" applyFill="1"/>
    <xf numFmtId="0" fontId="24" fillId="3" borderId="0" xfId="0" applyFont="1" applyFill="1"/>
    <xf numFmtId="0" fontId="25" fillId="3" borderId="0" xfId="0" applyFont="1" applyFill="1"/>
    <xf numFmtId="0" fontId="22" fillId="3" borderId="1" xfId="0" applyFont="1" applyFill="1" applyBorder="1"/>
    <xf numFmtId="0" fontId="22" fillId="3" borderId="2" xfId="0" applyFont="1" applyFill="1" applyBorder="1"/>
    <xf numFmtId="0" fontId="22" fillId="3" borderId="3" xfId="0" applyFont="1" applyFill="1" applyBorder="1"/>
    <xf numFmtId="0" fontId="22" fillId="3" borderId="62" xfId="0" applyFont="1" applyFill="1" applyBorder="1"/>
    <xf numFmtId="0" fontId="22" fillId="3" borderId="63" xfId="0" applyFont="1" applyFill="1" applyBorder="1"/>
    <xf numFmtId="0" fontId="24" fillId="3" borderId="0" xfId="0" applyFont="1" applyFill="1" applyBorder="1"/>
    <xf numFmtId="0" fontId="22" fillId="3" borderId="0" xfId="0" applyFont="1" applyFill="1" applyAlignment="1">
      <alignment wrapText="1"/>
    </xf>
    <xf numFmtId="0" fontId="22" fillId="3" borderId="64" xfId="0" applyFont="1" applyFill="1" applyBorder="1"/>
    <xf numFmtId="0" fontId="22" fillId="4" borderId="4" xfId="0" applyFont="1" applyFill="1" applyBorder="1"/>
    <xf numFmtId="0" fontId="24" fillId="4" borderId="5" xfId="0" applyFont="1" applyFill="1" applyBorder="1"/>
    <xf numFmtId="0" fontId="22" fillId="4" borderId="68" xfId="0" applyFont="1" applyFill="1" applyBorder="1"/>
    <xf numFmtId="0" fontId="24" fillId="3" borderId="62" xfId="0" applyFont="1" applyFill="1" applyBorder="1"/>
    <xf numFmtId="0" fontId="24" fillId="3" borderId="63" xfId="0" applyFont="1" applyFill="1" applyBorder="1"/>
    <xf numFmtId="0" fontId="22" fillId="3" borderId="72" xfId="0" applyFont="1" applyFill="1" applyBorder="1"/>
    <xf numFmtId="0" fontId="24" fillId="3" borderId="0" xfId="0" applyFont="1" applyFill="1" applyAlignment="1">
      <alignment vertical="center" wrapText="1"/>
    </xf>
    <xf numFmtId="0" fontId="26" fillId="5" borderId="6" xfId="0" applyFont="1" applyFill="1" applyBorder="1" applyAlignment="1">
      <alignment vertical="center" wrapText="1"/>
    </xf>
    <xf numFmtId="0" fontId="26" fillId="5" borderId="7" xfId="0" applyFont="1" applyFill="1" applyBorder="1" applyAlignment="1">
      <alignment vertical="center" wrapText="1"/>
    </xf>
    <xf numFmtId="0" fontId="26" fillId="5" borderId="8" xfId="0" applyFont="1" applyFill="1" applyBorder="1" applyAlignment="1">
      <alignment vertical="center" wrapText="1"/>
    </xf>
    <xf numFmtId="0" fontId="26" fillId="5" borderId="74" xfId="0" applyFont="1" applyFill="1" applyBorder="1" applyAlignment="1">
      <alignment horizontal="center" vertical="center" wrapText="1"/>
    </xf>
    <xf numFmtId="0" fontId="26" fillId="5" borderId="75" xfId="0" applyFont="1" applyFill="1" applyBorder="1" applyAlignment="1">
      <alignment horizontal="center" vertical="center" wrapText="1"/>
    </xf>
    <xf numFmtId="0" fontId="26" fillId="5" borderId="76" xfId="0" applyFont="1" applyFill="1" applyBorder="1" applyAlignment="1">
      <alignment horizontal="center" vertical="center" wrapText="1"/>
    </xf>
    <xf numFmtId="0" fontId="27" fillId="5" borderId="77" xfId="0" applyFont="1" applyFill="1" applyBorder="1" applyAlignment="1">
      <alignment horizontal="center" wrapText="1"/>
    </xf>
    <xf numFmtId="0" fontId="26" fillId="5" borderId="0" xfId="0" applyFont="1" applyFill="1" applyBorder="1" applyAlignment="1">
      <alignment wrapText="1"/>
    </xf>
    <xf numFmtId="0" fontId="27" fillId="5" borderId="78" xfId="0" applyFont="1" applyFill="1" applyBorder="1" applyAlignment="1">
      <alignment horizontal="center" wrapText="1"/>
    </xf>
    <xf numFmtId="165" fontId="28" fillId="4" borderId="69" xfId="1" applyNumberFormat="1" applyFont="1" applyFill="1" applyBorder="1"/>
    <xf numFmtId="165" fontId="28" fillId="4" borderId="70" xfId="1" applyNumberFormat="1" applyFont="1" applyFill="1" applyBorder="1"/>
    <xf numFmtId="165" fontId="28" fillId="3" borderId="0" xfId="1" applyNumberFormat="1" applyFont="1" applyFill="1"/>
    <xf numFmtId="165" fontId="28" fillId="4" borderId="71" xfId="1" applyNumberFormat="1" applyFont="1" applyFill="1" applyBorder="1"/>
    <xf numFmtId="165" fontId="28" fillId="3" borderId="64" xfId="1" applyNumberFormat="1" applyFont="1" applyFill="1" applyBorder="1"/>
    <xf numFmtId="165" fontId="28" fillId="3" borderId="65" xfId="1" applyNumberFormat="1" applyFont="1" applyFill="1" applyBorder="1"/>
    <xf numFmtId="165" fontId="28" fillId="3" borderId="72" xfId="1" applyNumberFormat="1" applyFont="1" applyFill="1" applyBorder="1"/>
    <xf numFmtId="165" fontId="28" fillId="3" borderId="66" xfId="1" applyNumberFormat="1" applyFont="1" applyFill="1" applyBorder="1"/>
    <xf numFmtId="165" fontId="28" fillId="3" borderId="67" xfId="1" applyNumberFormat="1" applyFont="1" applyFill="1" applyBorder="1"/>
    <xf numFmtId="165" fontId="28" fillId="3" borderId="73" xfId="1" applyNumberFormat="1" applyFont="1" applyFill="1" applyBorder="1"/>
    <xf numFmtId="165" fontId="28" fillId="4" borderId="64" xfId="1" applyNumberFormat="1" applyFont="1" applyFill="1" applyBorder="1"/>
    <xf numFmtId="165" fontId="28" fillId="4" borderId="65" xfId="1" applyNumberFormat="1" applyFont="1" applyFill="1" applyBorder="1"/>
    <xf numFmtId="165" fontId="28" fillId="4" borderId="72" xfId="1" applyNumberFormat="1" applyFont="1" applyFill="1" applyBorder="1"/>
    <xf numFmtId="0" fontId="0" fillId="3" borderId="0" xfId="0" applyFill="1" applyBorder="1"/>
    <xf numFmtId="165" fontId="22" fillId="3" borderId="0" xfId="0" applyNumberFormat="1" applyFont="1" applyFill="1"/>
    <xf numFmtId="165" fontId="28" fillId="3" borderId="0" xfId="0" applyNumberFormat="1" applyFont="1" applyFill="1"/>
    <xf numFmtId="165" fontId="24" fillId="6" borderId="9" xfId="0" applyNumberFormat="1" applyFont="1" applyFill="1" applyBorder="1"/>
    <xf numFmtId="0" fontId="26" fillId="5" borderId="10" xfId="0" applyFont="1" applyFill="1" applyBorder="1" applyAlignment="1">
      <alignment horizontal="center" vertical="center" wrapText="1"/>
    </xf>
    <xf numFmtId="0" fontId="24" fillId="3" borderId="6" xfId="0" applyFont="1" applyFill="1" applyBorder="1"/>
    <xf numFmtId="10" fontId="19" fillId="0" borderId="11" xfId="8" applyNumberFormat="1" applyFont="1" applyBorder="1"/>
    <xf numFmtId="167" fontId="19" fillId="0" borderId="11" xfId="8" applyNumberFormat="1" applyFont="1" applyBorder="1"/>
    <xf numFmtId="167" fontId="19" fillId="0" borderId="14" xfId="8" applyNumberFormat="1" applyFont="1" applyBorder="1"/>
    <xf numFmtId="0" fontId="26" fillId="5" borderId="18" xfId="0" applyFont="1" applyFill="1" applyBorder="1" applyAlignment="1">
      <alignment horizontal="center" vertical="center" wrapText="1"/>
    </xf>
    <xf numFmtId="0" fontId="24" fillId="3" borderId="19" xfId="0" applyFont="1" applyFill="1" applyBorder="1"/>
    <xf numFmtId="0" fontId="24" fillId="3" borderId="21" xfId="0" applyFont="1" applyFill="1" applyBorder="1"/>
    <xf numFmtId="165" fontId="28" fillId="4" borderId="79" xfId="1" applyNumberFormat="1" applyFont="1" applyFill="1" applyBorder="1"/>
    <xf numFmtId="165" fontId="28" fillId="4" borderId="80" xfId="1" applyNumberFormat="1" applyFont="1" applyFill="1" applyBorder="1"/>
    <xf numFmtId="165" fontId="28" fillId="3" borderId="80" xfId="1" applyNumberFormat="1" applyFont="1" applyFill="1" applyBorder="1"/>
    <xf numFmtId="165" fontId="28" fillId="3" borderId="81" xfId="1" applyNumberFormat="1" applyFont="1" applyFill="1" applyBorder="1"/>
    <xf numFmtId="43" fontId="28" fillId="3" borderId="81" xfId="1" applyNumberFormat="1" applyFont="1" applyFill="1" applyBorder="1"/>
    <xf numFmtId="43" fontId="28" fillId="3" borderId="82" xfId="1" applyNumberFormat="1" applyFont="1" applyFill="1" applyBorder="1"/>
    <xf numFmtId="0" fontId="0" fillId="3" borderId="11" xfId="0" applyFill="1" applyBorder="1"/>
    <xf numFmtId="43" fontId="28" fillId="3" borderId="83" xfId="1" applyNumberFormat="1" applyFont="1" applyFill="1" applyBorder="1"/>
    <xf numFmtId="43" fontId="28" fillId="4" borderId="84" xfId="1" applyNumberFormat="1" applyFont="1" applyFill="1" applyBorder="1"/>
    <xf numFmtId="43" fontId="28" fillId="4" borderId="85" xfId="1" applyNumberFormat="1" applyFont="1" applyFill="1" applyBorder="1"/>
    <xf numFmtId="43" fontId="28" fillId="4" borderId="83" xfId="1" applyNumberFormat="1" applyFont="1" applyFill="1" applyBorder="1"/>
    <xf numFmtId="43" fontId="28" fillId="4" borderId="86" xfId="1" applyNumberFormat="1" applyFont="1" applyFill="1" applyBorder="1"/>
    <xf numFmtId="43" fontId="28" fillId="3" borderId="86" xfId="1" applyNumberFormat="1" applyFont="1" applyFill="1" applyBorder="1"/>
    <xf numFmtId="43" fontId="28" fillId="3" borderId="87" xfId="1" applyNumberFormat="1" applyFont="1" applyFill="1" applyBorder="1"/>
    <xf numFmtId="0" fontId="0" fillId="0" borderId="0" xfId="0"/>
    <xf numFmtId="165" fontId="28" fillId="0" borderId="80" xfId="1" applyNumberFormat="1" applyFont="1" applyFill="1" applyBorder="1"/>
    <xf numFmtId="43" fontId="28" fillId="0" borderId="83" xfId="1" applyNumberFormat="1" applyFont="1" applyFill="1" applyBorder="1"/>
    <xf numFmtId="43" fontId="28" fillId="0" borderId="86" xfId="1" applyNumberFormat="1" applyFont="1" applyFill="1" applyBorder="1"/>
    <xf numFmtId="165" fontId="28" fillId="0" borderId="81" xfId="1" applyNumberFormat="1" applyFont="1" applyFill="1" applyBorder="1"/>
    <xf numFmtId="43" fontId="28" fillId="0" borderId="82" xfId="1" applyNumberFormat="1" applyFont="1" applyFill="1" applyBorder="1"/>
    <xf numFmtId="43" fontId="28" fillId="0" borderId="87" xfId="1" applyNumberFormat="1" applyFont="1" applyFill="1" applyBorder="1"/>
    <xf numFmtId="0" fontId="26" fillId="5" borderId="9" xfId="0" applyFont="1" applyFill="1" applyBorder="1" applyAlignment="1">
      <alignment horizontal="center" vertical="center" wrapText="1"/>
    </xf>
    <xf numFmtId="165" fontId="28" fillId="0" borderId="66" xfId="1" applyNumberFormat="1" applyFont="1" applyFill="1" applyBorder="1"/>
    <xf numFmtId="165" fontId="28" fillId="0" borderId="64" xfId="1" applyNumberFormat="1" applyFont="1" applyFill="1" applyBorder="1"/>
    <xf numFmtId="165" fontId="28" fillId="0" borderId="72" xfId="1" applyNumberFormat="1" applyFont="1" applyFill="1" applyBorder="1"/>
    <xf numFmtId="165" fontId="28" fillId="0" borderId="73" xfId="1" applyNumberFormat="1" applyFont="1" applyFill="1" applyBorder="1"/>
    <xf numFmtId="0" fontId="26" fillId="5" borderId="8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4" fillId="3" borderId="4" xfId="0" applyFont="1" applyFill="1" applyBorder="1"/>
    <xf numFmtId="10" fontId="19" fillId="0" borderId="7" xfId="8" applyNumberFormat="1" applyFont="1" applyBorder="1"/>
    <xf numFmtId="0" fontId="26" fillId="5" borderId="0" xfId="0" applyFont="1" applyFill="1" applyBorder="1" applyAlignment="1">
      <alignment horizontal="center" vertical="center" wrapText="1"/>
    </xf>
    <xf numFmtId="0" fontId="0" fillId="4" borderId="28" xfId="0" applyFill="1" applyBorder="1"/>
    <xf numFmtId="0" fontId="26" fillId="5" borderId="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wrapText="1"/>
    </xf>
    <xf numFmtId="0" fontId="26" fillId="5" borderId="34" xfId="0" applyFont="1" applyFill="1" applyBorder="1" applyAlignment="1">
      <alignment horizontal="center" vertical="center" wrapText="1"/>
    </xf>
    <xf numFmtId="0" fontId="0" fillId="3" borderId="64" xfId="0" applyFill="1" applyBorder="1"/>
    <xf numFmtId="0" fontId="0" fillId="3" borderId="65" xfId="0" applyFill="1" applyBorder="1"/>
    <xf numFmtId="0" fontId="0" fillId="3" borderId="72" xfId="0" applyFill="1" applyBorder="1"/>
    <xf numFmtId="0" fontId="0" fillId="3" borderId="66" xfId="0" applyFill="1" applyBorder="1"/>
    <xf numFmtId="0" fontId="0" fillId="3" borderId="67" xfId="0" applyFill="1" applyBorder="1"/>
    <xf numFmtId="0" fontId="24" fillId="4" borderId="64" xfId="0" applyFont="1" applyFill="1" applyBorder="1"/>
    <xf numFmtId="0" fontId="22" fillId="4" borderId="64" xfId="0" applyFont="1" applyFill="1" applyBorder="1"/>
    <xf numFmtId="0" fontId="0" fillId="4" borderId="64" xfId="0" applyFill="1" applyBorder="1"/>
    <xf numFmtId="0" fontId="0" fillId="4" borderId="65" xfId="0" applyFill="1" applyBorder="1"/>
    <xf numFmtId="0" fontId="0" fillId="4" borderId="89" xfId="0" applyFill="1" applyBorder="1"/>
    <xf numFmtId="0" fontId="0" fillId="3" borderId="89" xfId="0" applyFill="1" applyBorder="1"/>
    <xf numFmtId="0" fontId="0" fillId="3" borderId="90" xfId="0" applyFill="1" applyBorder="1"/>
    <xf numFmtId="0" fontId="26" fillId="5" borderId="1" xfId="0" applyFont="1" applyFill="1" applyBorder="1" applyAlignment="1">
      <alignment horizontal="center" vertical="center" wrapText="1"/>
    </xf>
    <xf numFmtId="0" fontId="0" fillId="4" borderId="72" xfId="0" applyFill="1" applyBorder="1"/>
    <xf numFmtId="0" fontId="0" fillId="3" borderId="73" xfId="0" applyFill="1" applyBorder="1"/>
    <xf numFmtId="0" fontId="26" fillId="5" borderId="35" xfId="0" applyFont="1" applyFill="1" applyBorder="1" applyAlignment="1">
      <alignment horizontal="center" vertical="center" wrapText="1"/>
    </xf>
    <xf numFmtId="0" fontId="0" fillId="4" borderId="91" xfId="0" applyFill="1" applyBorder="1"/>
    <xf numFmtId="0" fontId="0" fillId="3" borderId="91" xfId="0" applyFill="1" applyBorder="1"/>
    <xf numFmtId="0" fontId="0" fillId="3" borderId="92" xfId="0" applyFill="1" applyBorder="1"/>
    <xf numFmtId="0" fontId="0" fillId="3" borderId="5" xfId="0" applyFill="1" applyBorder="1"/>
    <xf numFmtId="0" fontId="0" fillId="3" borderId="24" xfId="0" applyFill="1" applyBorder="1"/>
    <xf numFmtId="0" fontId="30" fillId="3" borderId="0" xfId="0" applyFont="1" applyFill="1"/>
    <xf numFmtId="0" fontId="0" fillId="3" borderId="2" xfId="0" applyFill="1" applyBorder="1"/>
    <xf numFmtId="0" fontId="0" fillId="3" borderId="16" xfId="0" applyFill="1" applyBorder="1"/>
    <xf numFmtId="0" fontId="0" fillId="3" borderId="39" xfId="0" applyFill="1" applyBorder="1"/>
    <xf numFmtId="0" fontId="27" fillId="5" borderId="99" xfId="0" applyFont="1" applyFill="1" applyBorder="1" applyAlignment="1">
      <alignment horizontal="center" wrapText="1"/>
    </xf>
    <xf numFmtId="0" fontId="27" fillId="5" borderId="34" xfId="0" applyFont="1" applyFill="1" applyBorder="1" applyAlignment="1">
      <alignment horizontal="center" wrapText="1"/>
    </xf>
    <xf numFmtId="0" fontId="26" fillId="5" borderId="45" xfId="0" applyFont="1" applyFill="1" applyBorder="1" applyAlignment="1">
      <alignment wrapText="1"/>
    </xf>
    <xf numFmtId="0" fontId="22" fillId="4" borderId="93" xfId="0" applyFont="1" applyFill="1" applyBorder="1"/>
    <xf numFmtId="0" fontId="22" fillId="3" borderId="91" xfId="0" applyFont="1" applyFill="1" applyBorder="1"/>
    <xf numFmtId="0" fontId="22" fillId="3" borderId="92" xfId="0" applyFont="1" applyFill="1" applyBorder="1"/>
    <xf numFmtId="0" fontId="23" fillId="3" borderId="62" xfId="0" applyFont="1" applyFill="1" applyBorder="1"/>
    <xf numFmtId="0" fontId="22" fillId="3" borderId="0" xfId="0" applyFont="1" applyFill="1" applyAlignment="1">
      <alignment horizontal="center"/>
    </xf>
    <xf numFmtId="0" fontId="26" fillId="5" borderId="0" xfId="0" applyFont="1" applyFill="1" applyBorder="1" applyAlignment="1">
      <alignment horizontal="center" wrapText="1"/>
    </xf>
    <xf numFmtId="0" fontId="26" fillId="5" borderId="7" xfId="0" applyFont="1" applyFill="1" applyBorder="1" applyAlignment="1">
      <alignment vertical="center" textRotation="90" wrapText="1"/>
    </xf>
    <xf numFmtId="0" fontId="26" fillId="5" borderId="46" xfId="0" applyFont="1" applyFill="1" applyBorder="1" applyAlignment="1">
      <alignment horizontal="center" vertical="center" textRotation="90" wrapText="1"/>
    </xf>
    <xf numFmtId="0" fontId="26" fillId="5" borderId="17" xfId="0" applyFont="1" applyFill="1" applyBorder="1" applyAlignment="1">
      <alignment vertical="center" wrapText="1"/>
    </xf>
    <xf numFmtId="0" fontId="24" fillId="3" borderId="3" xfId="0" applyFont="1" applyFill="1" applyBorder="1" applyAlignment="1">
      <alignment horizontal="center" wrapText="1"/>
    </xf>
    <xf numFmtId="0" fontId="26" fillId="5" borderId="6" xfId="0" applyFont="1" applyFill="1" applyBorder="1" applyAlignment="1">
      <alignment horizontal="center" vertical="center" textRotation="90" wrapText="1"/>
    </xf>
    <xf numFmtId="0" fontId="24" fillId="4" borderId="62" xfId="0" applyFont="1" applyFill="1" applyBorder="1"/>
    <xf numFmtId="0" fontId="22" fillId="4" borderId="91" xfId="0" applyFont="1" applyFill="1" applyBorder="1"/>
    <xf numFmtId="0" fontId="22" fillId="4" borderId="62" xfId="0" applyFont="1" applyFill="1" applyBorder="1"/>
    <xf numFmtId="0" fontId="22" fillId="4" borderId="100" xfId="0" applyFont="1" applyFill="1" applyBorder="1"/>
    <xf numFmtId="0" fontId="22" fillId="4" borderId="68" xfId="0" applyFont="1" applyFill="1" applyBorder="1" applyAlignment="1">
      <alignment horizontal="center"/>
    </xf>
    <xf numFmtId="0" fontId="24" fillId="4" borderId="68" xfId="0" applyFont="1" applyFill="1" applyBorder="1"/>
    <xf numFmtId="43" fontId="28" fillId="4" borderId="101" xfId="1" applyNumberFormat="1" applyFont="1" applyFill="1" applyBorder="1"/>
    <xf numFmtId="0" fontId="22" fillId="4" borderId="96" xfId="0" applyFont="1" applyFill="1" applyBorder="1"/>
    <xf numFmtId="0" fontId="22" fillId="4" borderId="62" xfId="0" applyFont="1" applyFill="1" applyBorder="1" applyAlignment="1">
      <alignment horizontal="center"/>
    </xf>
    <xf numFmtId="43" fontId="28" fillId="4" borderId="94" xfId="1" applyNumberFormat="1" applyFont="1" applyFill="1" applyBorder="1"/>
    <xf numFmtId="0" fontId="22" fillId="3" borderId="96" xfId="0" applyFont="1" applyFill="1" applyBorder="1"/>
    <xf numFmtId="0" fontId="22" fillId="3" borderId="62" xfId="0" applyFont="1" applyFill="1" applyBorder="1" applyAlignment="1">
      <alignment horizontal="center"/>
    </xf>
    <xf numFmtId="43" fontId="28" fillId="3" borderId="94" xfId="1" applyNumberFormat="1" applyFont="1" applyFill="1" applyBorder="1"/>
    <xf numFmtId="43" fontId="28" fillId="0" borderId="94" xfId="1" applyNumberFormat="1" applyFont="1" applyFill="1" applyBorder="1"/>
    <xf numFmtId="0" fontId="22" fillId="3" borderId="97" xfId="0" applyFont="1" applyFill="1" applyBorder="1"/>
    <xf numFmtId="0" fontId="22" fillId="3" borderId="63" xfId="0" applyFont="1" applyFill="1" applyBorder="1" applyAlignment="1">
      <alignment horizontal="center"/>
    </xf>
    <xf numFmtId="43" fontId="28" fillId="0" borderId="95" xfId="1" applyNumberFormat="1" applyFont="1" applyFill="1" applyBorder="1"/>
    <xf numFmtId="43" fontId="28" fillId="3" borderId="80" xfId="1" applyNumberFormat="1" applyFont="1" applyFill="1" applyBorder="1"/>
    <xf numFmtId="43" fontId="28" fillId="4" borderId="69" xfId="1" applyNumberFormat="1" applyFont="1" applyFill="1" applyBorder="1"/>
    <xf numFmtId="43" fontId="28" fillId="4" borderId="64" xfId="1" applyNumberFormat="1" applyFont="1" applyFill="1" applyBorder="1"/>
    <xf numFmtId="43" fontId="28" fillId="3" borderId="64" xfId="1" applyNumberFormat="1" applyFont="1" applyFill="1" applyBorder="1"/>
    <xf numFmtId="43" fontId="28" fillId="0" borderId="64" xfId="1" applyNumberFormat="1" applyFont="1" applyFill="1" applyBorder="1"/>
    <xf numFmtId="43" fontId="28" fillId="3" borderId="66" xfId="1" applyNumberFormat="1" applyFont="1" applyFill="1" applyBorder="1"/>
    <xf numFmtId="43" fontId="28" fillId="4" borderId="70" xfId="1" applyNumberFormat="1" applyFont="1" applyFill="1" applyBorder="1"/>
    <xf numFmtId="43" fontId="28" fillId="4" borderId="65" xfId="1" applyNumberFormat="1" applyFont="1" applyFill="1" applyBorder="1"/>
    <xf numFmtId="43" fontId="28" fillId="3" borderId="65" xfId="1" applyNumberFormat="1" applyFont="1" applyFill="1" applyBorder="1"/>
    <xf numFmtId="43" fontId="28" fillId="3" borderId="72" xfId="1" applyNumberFormat="1" applyFont="1" applyFill="1" applyBorder="1"/>
    <xf numFmtId="43" fontId="28" fillId="0" borderId="65" xfId="1" applyNumberFormat="1" applyFont="1" applyFill="1" applyBorder="1"/>
    <xf numFmtId="43" fontId="28" fillId="3" borderId="67" xfId="1" applyNumberFormat="1" applyFont="1" applyFill="1" applyBorder="1"/>
    <xf numFmtId="43" fontId="28" fillId="4" borderId="88" xfId="1" applyNumberFormat="1" applyFont="1" applyFill="1" applyBorder="1"/>
    <xf numFmtId="43" fontId="28" fillId="4" borderId="89" xfId="1" applyNumberFormat="1" applyFont="1" applyFill="1" applyBorder="1"/>
    <xf numFmtId="43" fontId="28" fillId="3" borderId="89" xfId="1" applyNumberFormat="1" applyFont="1" applyFill="1" applyBorder="1"/>
    <xf numFmtId="43" fontId="28" fillId="0" borderId="89" xfId="1" applyNumberFormat="1" applyFont="1" applyFill="1" applyBorder="1"/>
    <xf numFmtId="43" fontId="28" fillId="3" borderId="90" xfId="1" applyNumberFormat="1" applyFont="1" applyFill="1" applyBorder="1"/>
    <xf numFmtId="0" fontId="27" fillId="5" borderId="4" xfId="0" applyFont="1" applyFill="1" applyBorder="1" applyAlignment="1">
      <alignment horizontal="center" wrapText="1"/>
    </xf>
    <xf numFmtId="0" fontId="27" fillId="5" borderId="98" xfId="0" applyFont="1" applyFill="1" applyBorder="1" applyAlignment="1">
      <alignment horizontal="center" wrapText="1"/>
    </xf>
    <xf numFmtId="43" fontId="28" fillId="4" borderId="71" xfId="1" applyNumberFormat="1" applyFont="1" applyFill="1" applyBorder="1"/>
    <xf numFmtId="43" fontId="28" fillId="4" borderId="72" xfId="1" applyNumberFormat="1" applyFont="1" applyFill="1" applyBorder="1"/>
    <xf numFmtId="43" fontId="28" fillId="0" borderId="72" xfId="1" applyNumberFormat="1" applyFont="1" applyFill="1" applyBorder="1"/>
    <xf numFmtId="43" fontId="28" fillId="3" borderId="73" xfId="1" applyNumberFormat="1" applyFont="1" applyFill="1" applyBorder="1"/>
    <xf numFmtId="0" fontId="27" fillId="5" borderId="35" xfId="0" applyFont="1" applyFill="1" applyBorder="1" applyAlignment="1">
      <alignment horizontal="center" wrapText="1"/>
    </xf>
    <xf numFmtId="0" fontId="23" fillId="3" borderId="96" xfId="0" applyFont="1" applyFill="1" applyBorder="1"/>
    <xf numFmtId="0" fontId="23" fillId="3" borderId="91" xfId="0" applyFont="1" applyFill="1" applyBorder="1"/>
    <xf numFmtId="165" fontId="34" fillId="3" borderId="72" xfId="1" applyNumberFormat="1" applyFont="1" applyFill="1" applyBorder="1"/>
    <xf numFmtId="43" fontId="34" fillId="3" borderId="64" xfId="1" applyNumberFormat="1" applyFont="1" applyFill="1" applyBorder="1"/>
    <xf numFmtId="43" fontId="34" fillId="3" borderId="89" xfId="1" applyNumberFormat="1" applyFont="1" applyFill="1" applyBorder="1"/>
    <xf numFmtId="43" fontId="34" fillId="3" borderId="72" xfId="1" applyNumberFormat="1" applyFont="1" applyFill="1" applyBorder="1"/>
    <xf numFmtId="43" fontId="34" fillId="3" borderId="65" xfId="1" applyNumberFormat="1" applyFont="1" applyFill="1" applyBorder="1"/>
    <xf numFmtId="165" fontId="34" fillId="3" borderId="80" xfId="1" applyNumberFormat="1" applyFont="1" applyFill="1" applyBorder="1"/>
    <xf numFmtId="43" fontId="34" fillId="3" borderId="86" xfId="1" applyNumberFormat="1" applyFont="1" applyFill="1" applyBorder="1"/>
    <xf numFmtId="43" fontId="34" fillId="3" borderId="94" xfId="1" applyNumberFormat="1" applyFont="1" applyFill="1" applyBorder="1"/>
    <xf numFmtId="0" fontId="25" fillId="7" borderId="102" xfId="0" applyFont="1" applyFill="1" applyBorder="1"/>
    <xf numFmtId="0" fontId="25" fillId="8" borderId="0" xfId="0" applyFont="1" applyFill="1" applyAlignment="1"/>
    <xf numFmtId="0" fontId="25" fillId="7" borderId="35" xfId="0" applyFont="1" applyFill="1" applyBorder="1" applyAlignment="1"/>
    <xf numFmtId="0" fontId="25" fillId="7" borderId="103" xfId="0" applyFont="1" applyFill="1" applyBorder="1"/>
    <xf numFmtId="0" fontId="25" fillId="7" borderId="45" xfId="0" applyFont="1" applyFill="1" applyBorder="1" applyAlignment="1"/>
    <xf numFmtId="0" fontId="25" fillId="7" borderId="4" xfId="0" applyFont="1" applyFill="1" applyBorder="1"/>
    <xf numFmtId="0" fontId="25" fillId="7" borderId="104" xfId="0" applyFont="1" applyFill="1" applyBorder="1"/>
    <xf numFmtId="0" fontId="0" fillId="0" borderId="1" xfId="0" applyBorder="1" applyAlignment="1">
      <alignment horizontal="left"/>
    </xf>
    <xf numFmtId="0" fontId="0" fillId="0" borderId="0" xfId="0" applyNumberFormat="1" applyBorder="1"/>
    <xf numFmtId="0" fontId="25" fillId="7" borderId="1" xfId="0" applyFont="1" applyFill="1" applyBorder="1" applyAlignment="1"/>
    <xf numFmtId="0" fontId="25" fillId="7" borderId="0" xfId="0" applyFont="1" applyFill="1" applyBorder="1" applyAlignment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5" xfId="0" applyNumberFormat="1" applyBorder="1"/>
    <xf numFmtId="0" fontId="0" fillId="0" borderId="38" xfId="0" applyNumberFormat="1" applyBorder="1"/>
    <xf numFmtId="0" fontId="0" fillId="0" borderId="0" xfId="0" applyBorder="1" applyAlignment="1">
      <alignment horizontal="left"/>
    </xf>
    <xf numFmtId="0" fontId="25" fillId="7" borderId="5" xfId="0" applyFont="1" applyFill="1" applyBorder="1"/>
    <xf numFmtId="0" fontId="0" fillId="0" borderId="3" xfId="0" applyBorder="1" applyAlignment="1">
      <alignment horizontal="left"/>
    </xf>
    <xf numFmtId="3" fontId="0" fillId="3" borderId="72" xfId="0" applyNumberFormat="1" applyFill="1" applyBorder="1"/>
    <xf numFmtId="0" fontId="0" fillId="3" borderId="0" xfId="0" applyFill="1" applyBorder="1" applyAlignment="1">
      <alignment wrapText="1"/>
    </xf>
    <xf numFmtId="0" fontId="0" fillId="3" borderId="0" xfId="0" quotePrefix="1" applyFill="1" applyBorder="1"/>
    <xf numFmtId="0" fontId="25" fillId="7" borderId="40" xfId="0" applyFont="1" applyFill="1" applyBorder="1" applyAlignment="1">
      <alignment horizontal="center" vertical="center" wrapText="1"/>
    </xf>
    <xf numFmtId="0" fontId="25" fillId="7" borderId="30" xfId="0" applyFont="1" applyFill="1" applyBorder="1" applyAlignment="1">
      <alignment horizontal="center" vertical="center" wrapText="1"/>
    </xf>
    <xf numFmtId="0" fontId="25" fillId="7" borderId="31" xfId="0" applyFont="1" applyFill="1" applyBorder="1" applyAlignment="1">
      <alignment horizontal="center" vertical="center" wrapText="1"/>
    </xf>
    <xf numFmtId="0" fontId="25" fillId="4" borderId="28" xfId="0" applyFont="1" applyFill="1" applyBorder="1"/>
    <xf numFmtId="0" fontId="0" fillId="4" borderId="29" xfId="0" applyFill="1" applyBorder="1"/>
    <xf numFmtId="0" fontId="0" fillId="3" borderId="11" xfId="0" applyFill="1" applyBorder="1" applyAlignment="1">
      <alignment wrapText="1"/>
    </xf>
    <xf numFmtId="9" fontId="19" fillId="3" borderId="11" xfId="8" applyFont="1" applyFill="1" applyBorder="1"/>
    <xf numFmtId="9" fontId="19" fillId="3" borderId="0" xfId="8" applyFont="1" applyFill="1"/>
    <xf numFmtId="9" fontId="0" fillId="3" borderId="0" xfId="0" applyNumberFormat="1" applyFill="1"/>
    <xf numFmtId="10" fontId="19" fillId="3" borderId="0" xfId="8" applyNumberFormat="1" applyFont="1" applyFill="1"/>
    <xf numFmtId="1" fontId="0" fillId="3" borderId="0" xfId="0" applyNumberFormat="1" applyFill="1"/>
    <xf numFmtId="1" fontId="0" fillId="3" borderId="72" xfId="0" applyNumberFormat="1" applyFill="1" applyBorder="1"/>
    <xf numFmtId="0" fontId="0" fillId="3" borderId="0" xfId="0" applyFill="1" applyBorder="1" applyAlignment="1">
      <alignment horizontal="left"/>
    </xf>
    <xf numFmtId="0" fontId="0" fillId="3" borderId="0" xfId="0" applyNumberFormat="1" applyFill="1" applyBorder="1"/>
    <xf numFmtId="0" fontId="0" fillId="3" borderId="17" xfId="0" applyFill="1" applyBorder="1"/>
    <xf numFmtId="0" fontId="25" fillId="7" borderId="102" xfId="0" applyFont="1" applyFill="1" applyBorder="1"/>
    <xf numFmtId="0" fontId="25" fillId="7" borderId="4" xfId="0" applyFont="1" applyFill="1" applyBorder="1"/>
    <xf numFmtId="0" fontId="25" fillId="7" borderId="104" xfId="0" applyFont="1" applyFill="1" applyBorder="1"/>
    <xf numFmtId="0" fontId="0" fillId="0" borderId="1" xfId="0" applyBorder="1" applyAlignment="1">
      <alignment horizontal="left"/>
    </xf>
    <xf numFmtId="0" fontId="25" fillId="7" borderId="1" xfId="0" applyFont="1" applyFill="1" applyBorder="1" applyAlignment="1"/>
    <xf numFmtId="0" fontId="0" fillId="0" borderId="2" xfId="0" applyBorder="1" applyAlignment="1">
      <alignment horizontal="left"/>
    </xf>
    <xf numFmtId="0" fontId="29" fillId="5" borderId="0" xfId="0" applyFont="1" applyFill="1" applyAlignment="1">
      <alignment horizontal="center" wrapText="1"/>
    </xf>
    <xf numFmtId="0" fontId="29" fillId="5" borderId="0" xfId="0" applyFont="1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wrapText="1"/>
    </xf>
    <xf numFmtId="0" fontId="36" fillId="3" borderId="0" xfId="0" applyFont="1" applyFill="1"/>
    <xf numFmtId="0" fontId="35" fillId="3" borderId="0" xfId="0" applyFont="1" applyFill="1" applyAlignment="1">
      <alignment wrapText="1"/>
    </xf>
    <xf numFmtId="165" fontId="32" fillId="0" borderId="11" xfId="0" applyNumberFormat="1" applyFont="1" applyBorder="1"/>
    <xf numFmtId="0" fontId="0" fillId="0" borderId="0" xfId="0"/>
    <xf numFmtId="0" fontId="22" fillId="3" borderId="0" xfId="7" applyFont="1" applyFill="1"/>
    <xf numFmtId="0" fontId="37" fillId="3" borderId="0" xfId="7" applyFont="1" applyFill="1"/>
    <xf numFmtId="0" fontId="8" fillId="3" borderId="0" xfId="7" applyFont="1" applyFill="1" applyBorder="1" applyAlignment="1">
      <alignment vertical="top"/>
    </xf>
    <xf numFmtId="0" fontId="9" fillId="3" borderId="0" xfId="7" applyFont="1" applyFill="1" applyBorder="1" applyAlignment="1">
      <alignment horizontal="center"/>
    </xf>
    <xf numFmtId="0" fontId="8" fillId="3" borderId="0" xfId="7" applyFont="1" applyFill="1"/>
    <xf numFmtId="0" fontId="8" fillId="3" borderId="0" xfId="7" applyFont="1" applyFill="1" applyBorder="1" applyAlignment="1"/>
    <xf numFmtId="0" fontId="22" fillId="0" borderId="0" xfId="7" applyFont="1"/>
    <xf numFmtId="0" fontId="8" fillId="3" borderId="0" xfId="7" applyFont="1" applyFill="1" applyAlignment="1">
      <alignment vertical="center"/>
    </xf>
    <xf numFmtId="0" fontId="9" fillId="3" borderId="0" xfId="7" applyFont="1" applyFill="1" applyAlignment="1">
      <alignment vertical="center" wrapText="1"/>
    </xf>
    <xf numFmtId="0" fontId="8" fillId="3" borderId="0" xfId="7" applyFont="1" applyFill="1" applyAlignment="1">
      <alignment horizontal="left" vertical="center" wrapText="1"/>
    </xf>
    <xf numFmtId="0" fontId="8" fillId="3" borderId="0" xfId="7" applyFont="1" applyFill="1" applyBorder="1" applyAlignment="1">
      <alignment horizontal="left" vertical="center" wrapText="1"/>
    </xf>
    <xf numFmtId="0" fontId="8" fillId="3" borderId="0" xfId="7" applyFont="1" applyFill="1" applyBorder="1" applyAlignment="1" applyProtection="1">
      <alignment horizontal="left" vertical="center"/>
      <protection locked="0"/>
    </xf>
    <xf numFmtId="0" fontId="10" fillId="3" borderId="0" xfId="7" applyFont="1" applyFill="1" applyBorder="1" applyAlignment="1"/>
    <xf numFmtId="0" fontId="9" fillId="3" borderId="0" xfId="7" applyFont="1" applyFill="1" applyBorder="1" applyAlignment="1">
      <alignment vertical="top"/>
    </xf>
    <xf numFmtId="0" fontId="8" fillId="3" borderId="0" xfId="7" applyFont="1" applyFill="1" applyBorder="1" applyAlignment="1">
      <alignment vertical="center"/>
    </xf>
    <xf numFmtId="0" fontId="11" fillId="3" borderId="0" xfId="7" applyFont="1" applyFill="1" applyAlignment="1">
      <alignment wrapText="1"/>
    </xf>
    <xf numFmtId="0" fontId="12" fillId="3" borderId="0" xfId="7" applyFont="1" applyFill="1" applyBorder="1" applyAlignment="1">
      <alignment horizontal="left"/>
    </xf>
    <xf numFmtId="0" fontId="13" fillId="3" borderId="0" xfId="7" applyFont="1" applyFill="1" applyBorder="1" applyAlignment="1">
      <alignment horizontal="right"/>
    </xf>
    <xf numFmtId="0" fontId="13" fillId="3" borderId="0" xfId="7" applyFont="1" applyFill="1" applyBorder="1" applyAlignment="1"/>
    <xf numFmtId="0" fontId="38" fillId="3" borderId="0" xfId="7" applyFont="1" applyFill="1" applyBorder="1" applyAlignment="1">
      <alignment vertical="center"/>
    </xf>
    <xf numFmtId="0" fontId="39" fillId="3" borderId="0" xfId="7" applyFont="1" applyFill="1" applyAlignment="1">
      <alignment horizontal="justify" vertical="top"/>
    </xf>
    <xf numFmtId="0" fontId="39" fillId="3" borderId="0" xfId="7" applyFont="1" applyFill="1" applyBorder="1" applyAlignment="1">
      <alignment vertical="top"/>
    </xf>
    <xf numFmtId="0" fontId="9" fillId="3" borderId="0" xfId="7" applyFont="1" applyFill="1" applyAlignment="1"/>
    <xf numFmtId="0" fontId="9" fillId="3" borderId="0" xfId="7" applyFont="1" applyFill="1" applyAlignment="1">
      <alignment wrapText="1"/>
    </xf>
    <xf numFmtId="0" fontId="12" fillId="3" borderId="0" xfId="7" applyFont="1" applyFill="1" applyBorder="1" applyAlignment="1"/>
    <xf numFmtId="0" fontId="40" fillId="3" borderId="0" xfId="7" applyFont="1" applyFill="1" applyAlignment="1">
      <alignment horizontal="left" vertical="justify"/>
    </xf>
    <xf numFmtId="0" fontId="22" fillId="3" borderId="0" xfId="7" applyFont="1" applyFill="1" applyAlignment="1">
      <alignment horizontal="left" vertical="justify"/>
    </xf>
    <xf numFmtId="0" fontId="14" fillId="3" borderId="0" xfId="7" applyFont="1" applyFill="1" applyBorder="1" applyAlignment="1">
      <alignment horizontal="left" vertical="center" wrapText="1"/>
    </xf>
    <xf numFmtId="0" fontId="24" fillId="11" borderId="105" xfId="7" applyFont="1" applyFill="1" applyBorder="1" applyAlignment="1">
      <alignment horizontal="center" vertical="center" wrapText="1"/>
    </xf>
    <xf numFmtId="0" fontId="41" fillId="12" borderId="106" xfId="7" applyFont="1" applyFill="1" applyBorder="1" applyAlignment="1">
      <alignment vertical="top"/>
    </xf>
    <xf numFmtId="0" fontId="41" fillId="12" borderId="107" xfId="7" applyFont="1" applyFill="1" applyBorder="1" applyAlignment="1">
      <alignment vertical="top"/>
    </xf>
    <xf numFmtId="3" fontId="22" fillId="12" borderId="107" xfId="7" applyNumberFormat="1" applyFont="1" applyFill="1" applyBorder="1" applyAlignment="1">
      <alignment vertical="top"/>
    </xf>
    <xf numFmtId="3" fontId="22" fillId="12" borderId="108" xfId="7" applyNumberFormat="1" applyFont="1" applyFill="1" applyBorder="1" applyAlignment="1">
      <alignment vertical="top"/>
    </xf>
    <xf numFmtId="0" fontId="24" fillId="3" borderId="109" xfId="7" applyFont="1" applyFill="1" applyBorder="1" applyAlignment="1">
      <alignment vertical="top"/>
    </xf>
    <xf numFmtId="0" fontId="24" fillId="3" borderId="110" xfId="7" applyFont="1" applyFill="1" applyBorder="1" applyAlignment="1">
      <alignment vertical="top"/>
    </xf>
    <xf numFmtId="3" fontId="22" fillId="3" borderId="111" xfId="7" applyNumberFormat="1" applyFont="1" applyFill="1" applyBorder="1" applyAlignment="1">
      <alignment vertical="top" wrapText="1"/>
    </xf>
    <xf numFmtId="3" fontId="41" fillId="13" borderId="112" xfId="7" applyNumberFormat="1" applyFont="1" applyFill="1" applyBorder="1" applyAlignment="1">
      <alignment horizontal="center" vertical="top" wrapText="1"/>
    </xf>
    <xf numFmtId="0" fontId="24" fillId="3" borderId="109" xfId="7" applyFont="1" applyFill="1" applyBorder="1" applyAlignment="1">
      <alignment vertical="top" wrapText="1"/>
    </xf>
    <xf numFmtId="0" fontId="24" fillId="3" borderId="110" xfId="7" applyFont="1" applyFill="1" applyBorder="1" applyAlignment="1">
      <alignment vertical="top" wrapText="1"/>
    </xf>
    <xf numFmtId="3" fontId="9" fillId="3" borderId="112" xfId="7" applyNumberFormat="1" applyFont="1" applyFill="1" applyBorder="1" applyAlignment="1">
      <alignment horizontal="center" vertical="top" wrapText="1"/>
    </xf>
    <xf numFmtId="0" fontId="24" fillId="3" borderId="11" xfId="7" applyFont="1" applyFill="1" applyBorder="1" applyAlignment="1">
      <alignment vertical="center" wrapText="1"/>
    </xf>
    <xf numFmtId="3" fontId="23" fillId="3" borderId="113" xfId="7" applyNumberFormat="1" applyFont="1" applyFill="1" applyBorder="1" applyAlignment="1">
      <alignment vertical="top" wrapText="1"/>
    </xf>
    <xf numFmtId="3" fontId="15" fillId="3" borderId="112" xfId="7" applyNumberFormat="1" applyFont="1" applyFill="1" applyBorder="1" applyAlignment="1">
      <alignment horizontal="center" vertical="top" wrapText="1"/>
    </xf>
    <xf numFmtId="0" fontId="41" fillId="11" borderId="114" xfId="7" applyFont="1" applyFill="1" applyBorder="1" applyAlignment="1">
      <alignment vertical="top"/>
    </xf>
    <xf numFmtId="0" fontId="41" fillId="11" borderId="115" xfId="7" applyFont="1" applyFill="1" applyBorder="1" applyAlignment="1">
      <alignment vertical="top" wrapText="1"/>
    </xf>
    <xf numFmtId="3" fontId="41" fillId="13" borderId="116" xfId="7" applyNumberFormat="1" applyFont="1" applyFill="1" applyBorder="1" applyAlignment="1">
      <alignment horizontal="center" vertical="top" wrapText="1"/>
    </xf>
    <xf numFmtId="3" fontId="41" fillId="13" borderId="117" xfId="7" applyNumberFormat="1" applyFont="1" applyFill="1" applyBorder="1" applyAlignment="1">
      <alignment horizontal="center" vertical="top" wrapText="1"/>
    </xf>
    <xf numFmtId="0" fontId="41" fillId="12" borderId="106" xfId="7" applyFont="1" applyFill="1" applyBorder="1" applyAlignment="1">
      <alignment vertical="top" wrapText="1"/>
    </xf>
    <xf numFmtId="0" fontId="41" fillId="12" borderId="107" xfId="7" applyFont="1" applyFill="1" applyBorder="1" applyAlignment="1">
      <alignment vertical="top" wrapText="1"/>
    </xf>
    <xf numFmtId="3" fontId="22" fillId="12" borderId="107" xfId="7" applyNumberFormat="1" applyFont="1" applyFill="1" applyBorder="1" applyAlignment="1">
      <alignment vertical="top" wrapText="1"/>
    </xf>
    <xf numFmtId="3" fontId="22" fillId="12" borderId="108" xfId="7" applyNumberFormat="1" applyFont="1" applyFill="1" applyBorder="1" applyAlignment="1">
      <alignment vertical="top" wrapText="1"/>
    </xf>
    <xf numFmtId="0" fontId="22" fillId="3" borderId="110" xfId="7" applyFont="1" applyFill="1" applyBorder="1" applyAlignment="1">
      <alignment vertical="top" wrapText="1"/>
    </xf>
    <xf numFmtId="0" fontId="41" fillId="12" borderId="118" xfId="7" applyFont="1" applyFill="1" applyBorder="1" applyAlignment="1">
      <alignment vertical="top" wrapText="1"/>
    </xf>
    <xf numFmtId="3" fontId="22" fillId="12" borderId="119" xfId="7" applyNumberFormat="1" applyFont="1" applyFill="1" applyBorder="1" applyAlignment="1">
      <alignment vertical="top" wrapText="1"/>
    </xf>
    <xf numFmtId="3" fontId="22" fillId="3" borderId="105" xfId="7" applyNumberFormat="1" applyFont="1" applyFill="1" applyBorder="1" applyAlignment="1">
      <alignment vertical="top" wrapText="1"/>
    </xf>
    <xf numFmtId="3" fontId="9" fillId="4" borderId="116" xfId="7" applyNumberFormat="1" applyFont="1" applyFill="1" applyBorder="1" applyAlignment="1">
      <alignment horizontal="center" vertical="top" wrapText="1"/>
    </xf>
    <xf numFmtId="0" fontId="16" fillId="3" borderId="0" xfId="7" applyFont="1" applyFill="1" applyBorder="1" applyAlignment="1"/>
    <xf numFmtId="0" fontId="9" fillId="3" borderId="0" xfId="7" applyFont="1" applyFill="1" applyBorder="1" applyAlignment="1"/>
    <xf numFmtId="0" fontId="24" fillId="11" borderId="40" xfId="7" applyFont="1" applyFill="1" applyBorder="1" applyAlignment="1">
      <alignment horizontal="center" vertical="center" wrapText="1"/>
    </xf>
    <xf numFmtId="0" fontId="24" fillId="11" borderId="30" xfId="7" applyFont="1" applyFill="1" applyBorder="1" applyAlignment="1">
      <alignment horizontal="center" vertical="center" wrapText="1"/>
    </xf>
    <xf numFmtId="0" fontId="24" fillId="11" borderId="31" xfId="7" applyFont="1" applyFill="1" applyBorder="1" applyAlignment="1">
      <alignment horizontal="center" vertical="center" wrapText="1"/>
    </xf>
    <xf numFmtId="0" fontId="24" fillId="0" borderId="19" xfId="7" applyFont="1" applyBorder="1" applyAlignment="1">
      <alignment vertical="top" wrapText="1"/>
    </xf>
    <xf numFmtId="0" fontId="24" fillId="0" borderId="11" xfId="7" applyFont="1" applyBorder="1" applyAlignment="1">
      <alignment vertical="top" wrapText="1"/>
    </xf>
    <xf numFmtId="0" fontId="22" fillId="0" borderId="11" xfId="7" applyFont="1" applyBorder="1" applyAlignment="1">
      <alignment vertical="top" wrapText="1"/>
    </xf>
    <xf numFmtId="3" fontId="9" fillId="4" borderId="20" xfId="7" applyNumberFormat="1" applyFont="1" applyFill="1" applyBorder="1" applyAlignment="1">
      <alignment horizontal="center" vertical="top" wrapText="1"/>
    </xf>
    <xf numFmtId="0" fontId="41" fillId="11" borderId="39" xfId="7" applyFont="1" applyFill="1" applyBorder="1" applyAlignment="1">
      <alignment vertical="top" wrapText="1"/>
    </xf>
    <xf numFmtId="0" fontId="41" fillId="13" borderId="28" xfId="7" applyFont="1" applyFill="1" applyBorder="1" applyAlignment="1">
      <alignment vertical="top" wrapText="1"/>
    </xf>
    <xf numFmtId="0" fontId="41" fillId="14" borderId="28" xfId="7" applyFont="1" applyFill="1" applyBorder="1" applyAlignment="1">
      <alignment vertical="top" wrapText="1"/>
    </xf>
    <xf numFmtId="3" fontId="9" fillId="4" borderId="29" xfId="7" applyNumberFormat="1" applyFont="1" applyFill="1" applyBorder="1" applyAlignment="1">
      <alignment horizontal="center" vertical="top" wrapText="1"/>
    </xf>
    <xf numFmtId="0" fontId="24" fillId="11" borderId="40" xfId="7" applyFont="1" applyFill="1" applyBorder="1" applyAlignment="1">
      <alignment horizontal="center" vertical="center" wrapText="1"/>
    </xf>
    <xf numFmtId="0" fontId="24" fillId="11" borderId="11" xfId="7" applyFont="1" applyFill="1" applyBorder="1" applyAlignment="1">
      <alignment horizontal="center" vertical="center" wrapText="1"/>
    </xf>
    <xf numFmtId="0" fontId="24" fillId="0" borderId="19" xfId="7" applyFont="1" applyBorder="1" applyAlignment="1"/>
    <xf numFmtId="0" fontId="9" fillId="0" borderId="11" xfId="7" applyFont="1" applyFill="1" applyBorder="1" applyAlignment="1">
      <alignment horizontal="center"/>
    </xf>
    <xf numFmtId="0" fontId="8" fillId="3" borderId="0" xfId="7" applyFont="1" applyFill="1" applyBorder="1" applyAlignment="1">
      <alignment horizontal="justify"/>
    </xf>
    <xf numFmtId="0" fontId="9" fillId="0" borderId="20" xfId="7" applyFont="1" applyFill="1" applyBorder="1" applyAlignment="1">
      <alignment horizontal="center"/>
    </xf>
    <xf numFmtId="0" fontId="42" fillId="3" borderId="0" xfId="7" applyFont="1" applyFill="1" applyAlignment="1"/>
    <xf numFmtId="0" fontId="24" fillId="11" borderId="20" xfId="7" applyFont="1" applyFill="1" applyBorder="1" applyAlignment="1">
      <alignment horizontal="center" vertical="center" wrapText="1"/>
    </xf>
    <xf numFmtId="3" fontId="41" fillId="13" borderId="28" xfId="7" applyNumberFormat="1" applyFont="1" applyFill="1" applyBorder="1" applyAlignment="1">
      <alignment horizontal="center" vertical="top" wrapText="1"/>
    </xf>
    <xf numFmtId="0" fontId="24" fillId="11" borderId="40" xfId="7" applyFont="1" applyFill="1" applyBorder="1" applyAlignment="1">
      <alignment vertical="top" wrapText="1"/>
    </xf>
    <xf numFmtId="0" fontId="24" fillId="11" borderId="31" xfId="7" applyFont="1" applyFill="1" applyBorder="1" applyAlignment="1">
      <alignment horizontal="center" vertical="top" wrapText="1"/>
    </xf>
    <xf numFmtId="0" fontId="22" fillId="13" borderId="20" xfId="7" applyFont="1" applyFill="1" applyBorder="1" applyAlignment="1">
      <alignment vertical="top" wrapText="1"/>
    </xf>
    <xf numFmtId="0" fontId="24" fillId="0" borderId="39" xfId="7" applyFont="1" applyBorder="1" applyAlignment="1"/>
    <xf numFmtId="0" fontId="40" fillId="3" borderId="0" xfId="7" applyFont="1" applyFill="1" applyAlignment="1"/>
    <xf numFmtId="0" fontId="24" fillId="3" borderId="0" xfId="7" applyFont="1" applyFill="1" applyAlignment="1"/>
    <xf numFmtId="0" fontId="24" fillId="3" borderId="0" xfId="7" applyFont="1" applyFill="1" applyAlignment="1">
      <alignment horizontal="center" vertical="center"/>
    </xf>
    <xf numFmtId="0" fontId="41" fillId="12" borderId="48" xfId="7" applyFont="1" applyFill="1" applyBorder="1" applyAlignment="1">
      <alignment vertical="top"/>
    </xf>
    <xf numFmtId="0" fontId="41" fillId="12" borderId="49" xfId="7" applyFont="1" applyFill="1" applyBorder="1" applyAlignment="1">
      <alignment vertical="top" wrapText="1"/>
    </xf>
    <xf numFmtId="0" fontId="22" fillId="12" borderId="49" xfId="7" applyFont="1" applyFill="1" applyBorder="1" applyAlignment="1">
      <alignment vertical="top" wrapText="1"/>
    </xf>
    <xf numFmtId="0" fontId="22" fillId="12" borderId="50" xfId="7" applyFont="1" applyFill="1" applyBorder="1" applyAlignment="1">
      <alignment vertical="top" wrapText="1"/>
    </xf>
    <xf numFmtId="0" fontId="24" fillId="3" borderId="48" xfId="7" applyFont="1" applyFill="1" applyBorder="1" applyAlignment="1">
      <alignment vertical="top"/>
    </xf>
    <xf numFmtId="0" fontId="24" fillId="3" borderId="23" xfId="7" applyFont="1" applyFill="1" applyBorder="1" applyAlignment="1">
      <alignment vertical="top"/>
    </xf>
    <xf numFmtId="3" fontId="24" fillId="15" borderId="20" xfId="7" applyNumberFormat="1" applyFont="1" applyFill="1" applyBorder="1" applyAlignment="1">
      <alignment horizontal="center" vertical="top" wrapText="1"/>
    </xf>
    <xf numFmtId="0" fontId="24" fillId="3" borderId="48" xfId="7" applyFont="1" applyFill="1" applyBorder="1" applyAlignment="1">
      <alignment vertical="top" wrapText="1"/>
    </xf>
    <xf numFmtId="0" fontId="24" fillId="3" borderId="23" xfId="7" applyFont="1" applyFill="1" applyBorder="1" applyAlignment="1">
      <alignment vertical="top" wrapText="1"/>
    </xf>
    <xf numFmtId="3" fontId="43" fillId="15" borderId="20" xfId="7" applyNumberFormat="1" applyFont="1" applyFill="1" applyBorder="1" applyAlignment="1">
      <alignment horizontal="center" vertical="top" wrapText="1"/>
    </xf>
    <xf numFmtId="0" fontId="41" fillId="11" borderId="48" xfId="7" applyFont="1" applyFill="1" applyBorder="1" applyAlignment="1">
      <alignment vertical="top" wrapText="1"/>
    </xf>
    <xf numFmtId="0" fontId="41" fillId="11" borderId="23" xfId="7" applyFont="1" applyFill="1" applyBorder="1" applyAlignment="1">
      <alignment vertical="top" wrapText="1"/>
    </xf>
    <xf numFmtId="0" fontId="41" fillId="12" borderId="48" xfId="7" applyFont="1" applyFill="1" applyBorder="1" applyAlignment="1">
      <alignment vertical="top" wrapText="1"/>
    </xf>
    <xf numFmtId="3" fontId="22" fillId="12" borderId="49" xfId="7" applyNumberFormat="1" applyFont="1" applyFill="1" applyBorder="1" applyAlignment="1">
      <alignment vertical="top" wrapText="1"/>
    </xf>
    <xf numFmtId="3" fontId="22" fillId="12" borderId="50" xfId="7" applyNumberFormat="1" applyFont="1" applyFill="1" applyBorder="1" applyAlignment="1">
      <alignment vertical="top" wrapText="1"/>
    </xf>
    <xf numFmtId="0" fontId="22" fillId="0" borderId="23" xfId="7" applyFont="1" applyBorder="1" applyAlignment="1">
      <alignment vertical="top" wrapText="1"/>
    </xf>
    <xf numFmtId="0" fontId="41" fillId="12" borderId="49" xfId="7" applyFont="1" applyFill="1" applyBorder="1" applyAlignment="1">
      <alignment vertical="top"/>
    </xf>
    <xf numFmtId="0" fontId="41" fillId="11" borderId="51" xfId="7" applyFont="1" applyFill="1" applyBorder="1" applyAlignment="1">
      <alignment vertical="top" wrapText="1"/>
    </xf>
    <xf numFmtId="0" fontId="41" fillId="11" borderId="33" xfId="7" applyFont="1" applyFill="1" applyBorder="1" applyAlignment="1">
      <alignment vertical="top" wrapText="1"/>
    </xf>
    <xf numFmtId="0" fontId="24" fillId="11" borderId="30" xfId="7" applyFont="1" applyFill="1" applyBorder="1" applyAlignment="1">
      <alignment horizontal="center" vertical="center" wrapText="1"/>
    </xf>
    <xf numFmtId="0" fontId="24" fillId="11" borderId="31" xfId="7" applyFont="1" applyFill="1" applyBorder="1" applyAlignment="1">
      <alignment horizontal="center" vertical="center" wrapText="1"/>
    </xf>
    <xf numFmtId="0" fontId="24" fillId="11" borderId="11" xfId="7" applyFont="1" applyFill="1" applyBorder="1" applyAlignment="1">
      <alignment horizontal="center" vertical="center" wrapText="1"/>
    </xf>
    <xf numFmtId="3" fontId="41" fillId="13" borderId="11" xfId="7" applyNumberFormat="1" applyFont="1" applyFill="1" applyBorder="1" applyAlignment="1">
      <alignment horizontal="center" vertical="top" wrapText="1"/>
    </xf>
    <xf numFmtId="0" fontId="24" fillId="11" borderId="19" xfId="7" applyFont="1" applyFill="1" applyBorder="1" applyAlignment="1">
      <alignment vertical="center" wrapText="1"/>
    </xf>
    <xf numFmtId="0" fontId="24" fillId="3" borderId="48" xfId="7" applyFont="1" applyFill="1" applyBorder="1" applyAlignment="1"/>
    <xf numFmtId="0" fontId="22" fillId="3" borderId="23" xfId="7" applyFont="1" applyFill="1" applyBorder="1" applyAlignment="1">
      <alignment vertical="top"/>
    </xf>
    <xf numFmtId="0" fontId="22" fillId="3" borderId="23" xfId="7" applyFont="1" applyFill="1" applyBorder="1" applyAlignment="1">
      <alignment vertical="top" wrapText="1"/>
    </xf>
    <xf numFmtId="170" fontId="41" fillId="13" borderId="11" xfId="7" applyNumberFormat="1" applyFont="1" applyFill="1" applyBorder="1" applyAlignment="1">
      <alignment horizontal="center" vertical="top" wrapText="1"/>
    </xf>
    <xf numFmtId="171" fontId="41" fillId="13" borderId="11" xfId="7" applyNumberFormat="1" applyFont="1" applyFill="1" applyBorder="1" applyAlignment="1">
      <alignment horizontal="center" vertical="top" wrapText="1"/>
    </xf>
    <xf numFmtId="0" fontId="24" fillId="11" borderId="39" xfId="7" applyFont="1" applyFill="1" applyBorder="1" applyAlignment="1">
      <alignment vertical="center" wrapText="1"/>
    </xf>
    <xf numFmtId="1" fontId="22" fillId="13" borderId="20" xfId="7" applyNumberFormat="1" applyFont="1" applyFill="1" applyBorder="1" applyAlignment="1">
      <alignment vertical="top" wrapText="1"/>
    </xf>
    <xf numFmtId="3" fontId="22" fillId="13" borderId="29" xfId="7" applyNumberFormat="1" applyFont="1" applyFill="1" applyBorder="1" applyAlignment="1">
      <alignment vertical="top" wrapText="1"/>
    </xf>
    <xf numFmtId="3" fontId="22" fillId="4" borderId="111" xfId="7" applyNumberFormat="1" applyFont="1" applyFill="1" applyBorder="1" applyAlignment="1">
      <alignment vertical="top" wrapText="1"/>
    </xf>
    <xf numFmtId="0" fontId="24" fillId="4" borderId="111" xfId="7" applyFont="1" applyFill="1" applyBorder="1" applyAlignment="1">
      <alignment vertical="center" wrapText="1"/>
    </xf>
    <xf numFmtId="0" fontId="24" fillId="4" borderId="105" xfId="7" applyFont="1" applyFill="1" applyBorder="1" applyAlignment="1">
      <alignment vertical="center" wrapText="1"/>
    </xf>
    <xf numFmtId="0" fontId="24" fillId="4" borderId="11" xfId="7" applyFont="1" applyFill="1" applyBorder="1" applyAlignment="1">
      <alignment vertical="center" wrapText="1"/>
    </xf>
    <xf numFmtId="3" fontId="22" fillId="4" borderId="11" xfId="7" applyNumberFormat="1" applyFont="1" applyFill="1" applyBorder="1" applyAlignment="1">
      <alignment horizontal="center" vertical="top" wrapText="1"/>
    </xf>
    <xf numFmtId="3" fontId="22" fillId="3" borderId="11" xfId="7" applyNumberFormat="1" applyFont="1" applyFill="1" applyBorder="1" applyAlignment="1">
      <alignment horizontal="center" vertical="top" wrapText="1"/>
    </xf>
    <xf numFmtId="3" fontId="24" fillId="3" borderId="11" xfId="7" applyNumberFormat="1" applyFont="1" applyFill="1" applyBorder="1" applyAlignment="1">
      <alignment horizontal="center" vertical="top" wrapText="1"/>
    </xf>
    <xf numFmtId="3" fontId="22" fillId="4" borderId="13" xfId="7" applyNumberFormat="1" applyFont="1" applyFill="1" applyBorder="1" applyAlignment="1">
      <alignment vertical="top" wrapText="1"/>
    </xf>
    <xf numFmtId="3" fontId="22" fillId="4" borderId="53" xfId="7" applyNumberFormat="1" applyFont="1" applyFill="1" applyBorder="1" applyAlignment="1">
      <alignment vertical="top" wrapText="1"/>
    </xf>
    <xf numFmtId="3" fontId="22" fillId="4" borderId="54" xfId="7" applyNumberFormat="1" applyFont="1" applyFill="1" applyBorder="1" applyAlignment="1">
      <alignment vertical="top" wrapText="1"/>
    </xf>
    <xf numFmtId="3" fontId="22" fillId="4" borderId="52" xfId="7" applyNumberFormat="1" applyFont="1" applyFill="1" applyBorder="1" applyAlignment="1">
      <alignment vertical="top" wrapText="1"/>
    </xf>
    <xf numFmtId="3" fontId="22" fillId="4" borderId="0" xfId="7" applyNumberFormat="1" applyFont="1" applyFill="1" applyBorder="1" applyAlignment="1">
      <alignment vertical="top" wrapText="1"/>
    </xf>
    <xf numFmtId="3" fontId="22" fillId="4" borderId="55" xfId="7" applyNumberFormat="1" applyFont="1" applyFill="1" applyBorder="1" applyAlignment="1">
      <alignment vertical="top" wrapText="1"/>
    </xf>
    <xf numFmtId="3" fontId="22" fillId="4" borderId="44" xfId="7" applyNumberFormat="1" applyFont="1" applyFill="1" applyBorder="1" applyAlignment="1">
      <alignment vertical="top" wrapText="1"/>
    </xf>
    <xf numFmtId="3" fontId="22" fillId="4" borderId="56" xfId="7" applyNumberFormat="1" applyFont="1" applyFill="1" applyBorder="1" applyAlignment="1">
      <alignment vertical="top" wrapText="1"/>
    </xf>
    <xf numFmtId="3" fontId="22" fillId="4" borderId="42" xfId="7" applyNumberFormat="1" applyFont="1" applyFill="1" applyBorder="1" applyAlignment="1">
      <alignment vertical="top" wrapText="1"/>
    </xf>
    <xf numFmtId="0" fontId="8" fillId="3" borderId="11" xfId="7" applyFont="1" applyFill="1" applyBorder="1" applyAlignment="1" applyProtection="1">
      <alignment horizontal="center" vertical="center"/>
      <protection locked="0"/>
    </xf>
    <xf numFmtId="0" fontId="8" fillId="3" borderId="11" xfId="7" applyFont="1" applyFill="1" applyBorder="1" applyAlignment="1">
      <alignment horizontal="center" vertical="center" wrapText="1"/>
    </xf>
    <xf numFmtId="0" fontId="8" fillId="3" borderId="11" xfId="7" applyFont="1" applyFill="1" applyBorder="1" applyAlignment="1">
      <alignment horizontal="center"/>
    </xf>
    <xf numFmtId="165" fontId="8" fillId="3" borderId="11" xfId="1" applyNumberFormat="1" applyFont="1" applyFill="1" applyBorder="1" applyAlignment="1">
      <alignment horizontal="center" vertical="center" wrapText="1"/>
    </xf>
    <xf numFmtId="3" fontId="24" fillId="15" borderId="28" xfId="7" applyNumberFormat="1" applyFont="1" applyFill="1" applyBorder="1" applyAlignment="1">
      <alignment horizontal="center" vertical="top" wrapText="1"/>
    </xf>
    <xf numFmtId="3" fontId="24" fillId="15" borderId="29" xfId="7" applyNumberFormat="1" applyFont="1" applyFill="1" applyBorder="1" applyAlignment="1">
      <alignment horizontal="center" vertical="top" wrapText="1"/>
    </xf>
    <xf numFmtId="0" fontId="44" fillId="3" borderId="0" xfId="7" applyFont="1" applyFill="1"/>
    <xf numFmtId="0" fontId="28" fillId="3" borderId="0" xfId="7" applyFont="1" applyFill="1"/>
    <xf numFmtId="0" fontId="22" fillId="9" borderId="0" xfId="7" applyFont="1" applyFill="1"/>
    <xf numFmtId="0" fontId="22" fillId="10" borderId="0" xfId="7" applyFont="1" applyFill="1"/>
    <xf numFmtId="10" fontId="22" fillId="3" borderId="0" xfId="8" applyNumberFormat="1" applyFont="1" applyFill="1" applyBorder="1"/>
    <xf numFmtId="0" fontId="44" fillId="3" borderId="0" xfId="0" applyFont="1" applyFill="1" applyBorder="1"/>
    <xf numFmtId="0" fontId="28" fillId="3" borderId="0" xfId="0" applyFont="1" applyFill="1" applyBorder="1"/>
    <xf numFmtId="10" fontId="28" fillId="3" borderId="0" xfId="8" applyNumberFormat="1" applyFont="1" applyFill="1" applyBorder="1"/>
    <xf numFmtId="0" fontId="28" fillId="3" borderId="0" xfId="0" applyFont="1" applyFill="1"/>
    <xf numFmtId="0" fontId="44" fillId="3" borderId="0" xfId="0" applyFont="1" applyFill="1"/>
    <xf numFmtId="10" fontId="44" fillId="3" borderId="0" xfId="8" applyNumberFormat="1" applyFont="1" applyFill="1" applyBorder="1"/>
    <xf numFmtId="10" fontId="28" fillId="3" borderId="0" xfId="8" applyNumberFormat="1" applyFont="1" applyFill="1"/>
    <xf numFmtId="10" fontId="22" fillId="3" borderId="45" xfId="8" applyNumberFormat="1" applyFont="1" applyFill="1" applyBorder="1"/>
    <xf numFmtId="10" fontId="22" fillId="3" borderId="38" xfId="8" applyNumberFormat="1" applyFont="1" applyFill="1" applyBorder="1"/>
    <xf numFmtId="0" fontId="24" fillId="3" borderId="35" xfId="7" applyFont="1" applyFill="1" applyBorder="1" applyAlignment="1">
      <alignment horizontal="left"/>
    </xf>
    <xf numFmtId="3" fontId="9" fillId="5" borderId="116" xfId="7" applyNumberFormat="1" applyFont="1" applyFill="1" applyBorder="1" applyAlignment="1">
      <alignment horizontal="center" vertical="top" wrapText="1"/>
    </xf>
    <xf numFmtId="10" fontId="9" fillId="9" borderId="116" xfId="8" applyNumberFormat="1" applyFont="1" applyFill="1" applyBorder="1" applyAlignment="1">
      <alignment horizontal="center" vertical="top" wrapText="1"/>
    </xf>
    <xf numFmtId="10" fontId="9" fillId="9" borderId="112" xfId="8" applyNumberFormat="1" applyFont="1" applyFill="1" applyBorder="1" applyAlignment="1">
      <alignment horizontal="center" vertical="top" wrapText="1"/>
    </xf>
    <xf numFmtId="10" fontId="8" fillId="9" borderId="111" xfId="8" applyNumberFormat="1" applyFont="1" applyFill="1" applyBorder="1" applyAlignment="1">
      <alignment vertical="top" wrapText="1"/>
    </xf>
    <xf numFmtId="10" fontId="15" fillId="9" borderId="112" xfId="8" applyNumberFormat="1" applyFont="1" applyFill="1" applyBorder="1" applyAlignment="1">
      <alignment horizontal="center" vertical="top" wrapText="1"/>
    </xf>
    <xf numFmtId="0" fontId="22" fillId="3" borderId="9" xfId="7" applyFont="1" applyFill="1" applyBorder="1"/>
    <xf numFmtId="10" fontId="9" fillId="10" borderId="112" xfId="8" applyNumberFormat="1" applyFont="1" applyFill="1" applyBorder="1" applyAlignment="1">
      <alignment horizontal="center" vertical="top" wrapText="1"/>
    </xf>
    <xf numFmtId="10" fontId="22" fillId="3" borderId="111" xfId="8" applyNumberFormat="1" applyFont="1" applyFill="1" applyBorder="1" applyAlignment="1">
      <alignment vertical="top" wrapText="1"/>
    </xf>
    <xf numFmtId="0" fontId="42" fillId="3" borderId="0" xfId="7" applyFont="1" applyFill="1" applyBorder="1" applyAlignment="1">
      <alignment horizontal="left" vertical="top" wrapText="1"/>
    </xf>
    <xf numFmtId="10" fontId="9" fillId="3" borderId="0" xfId="8" applyNumberFormat="1" applyFont="1" applyFill="1" applyBorder="1" applyAlignment="1">
      <alignment horizontal="center" vertical="top" wrapText="1"/>
    </xf>
    <xf numFmtId="3" fontId="9" fillId="3" borderId="0" xfId="7" applyNumberFormat="1" applyFont="1" applyFill="1" applyBorder="1" applyAlignment="1">
      <alignment horizontal="center" vertical="top" wrapText="1"/>
    </xf>
    <xf numFmtId="0" fontId="28" fillId="3" borderId="0" xfId="7" applyFont="1" applyFill="1" applyBorder="1"/>
    <xf numFmtId="0" fontId="22" fillId="3" borderId="0" xfId="7" applyFont="1" applyFill="1" applyBorder="1"/>
    <xf numFmtId="0" fontId="22" fillId="0" borderId="0" xfId="7" applyFont="1" applyBorder="1"/>
    <xf numFmtId="0" fontId="28" fillId="0" borderId="0" xfId="7" applyFont="1" applyBorder="1"/>
    <xf numFmtId="0" fontId="44" fillId="3" borderId="0" xfId="7" applyFont="1" applyFill="1" applyBorder="1"/>
    <xf numFmtId="0" fontId="24" fillId="3" borderId="0" xfId="7" applyFont="1" applyFill="1" applyBorder="1" applyAlignment="1">
      <alignment horizontal="left"/>
    </xf>
    <xf numFmtId="3" fontId="45" fillId="3" borderId="111" xfId="1" applyNumberFormat="1" applyFont="1" applyFill="1" applyBorder="1" applyAlignment="1">
      <alignment vertical="top" wrapText="1"/>
    </xf>
    <xf numFmtId="3" fontId="46" fillId="13" borderId="112" xfId="7" applyNumberFormat="1" applyFont="1" applyFill="1" applyBorder="1" applyAlignment="1">
      <alignment horizontal="center" vertical="top" wrapText="1"/>
    </xf>
    <xf numFmtId="3" fontId="45" fillId="4" borderId="111" xfId="7" applyNumberFormat="1" applyFont="1" applyFill="1" applyBorder="1" applyAlignment="1">
      <alignment vertical="top" wrapText="1"/>
    </xf>
    <xf numFmtId="3" fontId="46" fillId="3" borderId="112" xfId="7" applyNumberFormat="1" applyFont="1" applyFill="1" applyBorder="1" applyAlignment="1">
      <alignment horizontal="center" vertical="top" wrapText="1"/>
    </xf>
    <xf numFmtId="3" fontId="46" fillId="13" borderId="116" xfId="7" applyNumberFormat="1" applyFont="1" applyFill="1" applyBorder="1" applyAlignment="1">
      <alignment horizontal="center" vertical="top" wrapText="1"/>
    </xf>
    <xf numFmtId="3" fontId="46" fillId="13" borderId="117" xfId="7" applyNumberFormat="1" applyFont="1" applyFill="1" applyBorder="1" applyAlignment="1">
      <alignment horizontal="center" vertical="top" wrapText="1"/>
    </xf>
    <xf numFmtId="3" fontId="45" fillId="12" borderId="107" xfId="7" applyNumberFormat="1" applyFont="1" applyFill="1" applyBorder="1" applyAlignment="1">
      <alignment vertical="top" wrapText="1"/>
    </xf>
    <xf numFmtId="3" fontId="45" fillId="12" borderId="108" xfId="7" applyNumberFormat="1" applyFont="1" applyFill="1" applyBorder="1" applyAlignment="1">
      <alignment vertical="top" wrapText="1"/>
    </xf>
    <xf numFmtId="3" fontId="45" fillId="12" borderId="119" xfId="7" applyNumberFormat="1" applyFont="1" applyFill="1" applyBorder="1" applyAlignment="1">
      <alignment vertical="top" wrapText="1"/>
    </xf>
    <xf numFmtId="3" fontId="46" fillId="4" borderId="116" xfId="7" applyNumberFormat="1" applyFont="1" applyFill="1" applyBorder="1" applyAlignment="1">
      <alignment horizontal="center" vertical="top" wrapText="1"/>
    </xf>
    <xf numFmtId="0" fontId="18" fillId="3" borderId="0" xfId="7" applyFont="1" applyFill="1" applyAlignment="1">
      <alignment horizontal="left" vertical="center"/>
    </xf>
    <xf numFmtId="3" fontId="9" fillId="4" borderId="105" xfId="7" applyNumberFormat="1" applyFont="1" applyFill="1" applyBorder="1" applyAlignment="1">
      <alignment horizontal="center" vertical="top" wrapText="1"/>
    </xf>
    <xf numFmtId="10" fontId="47" fillId="3" borderId="7" xfId="8" applyNumberFormat="1" applyFont="1" applyFill="1" applyBorder="1"/>
    <xf numFmtId="10" fontId="47" fillId="3" borderId="15" xfId="8" applyNumberFormat="1" applyFont="1" applyFill="1" applyBorder="1"/>
    <xf numFmtId="0" fontId="47" fillId="3" borderId="16" xfId="7" applyFont="1" applyFill="1" applyBorder="1"/>
    <xf numFmtId="0" fontId="47" fillId="3" borderId="46" xfId="7" applyFont="1" applyFill="1" applyBorder="1"/>
    <xf numFmtId="0" fontId="0" fillId="3" borderId="26" xfId="0" applyFill="1" applyBorder="1"/>
    <xf numFmtId="0" fontId="0" fillId="3" borderId="3" xfId="0" applyFill="1" applyBorder="1"/>
    <xf numFmtId="0" fontId="0" fillId="3" borderId="27" xfId="0" applyFill="1" applyBorder="1"/>
    <xf numFmtId="0" fontId="0" fillId="19" borderId="134" xfId="0" applyNumberFormat="1" applyFill="1" applyBorder="1"/>
    <xf numFmtId="0" fontId="0" fillId="19" borderId="135" xfId="0" applyNumberFormat="1" applyFill="1" applyBorder="1"/>
    <xf numFmtId="0" fontId="0" fillId="19" borderId="136" xfId="0" applyNumberFormat="1" applyFill="1" applyBorder="1"/>
    <xf numFmtId="0" fontId="0" fillId="19" borderId="137" xfId="0" applyNumberFormat="1" applyFill="1" applyBorder="1"/>
    <xf numFmtId="0" fontId="0" fillId="19" borderId="138" xfId="0" applyNumberFormat="1" applyFill="1" applyBorder="1"/>
    <xf numFmtId="0" fontId="0" fillId="19" borderId="139" xfId="0" applyNumberFormat="1" applyFill="1" applyBorder="1"/>
    <xf numFmtId="0" fontId="0" fillId="19" borderId="140" xfId="0" applyNumberFormat="1" applyFill="1" applyBorder="1"/>
    <xf numFmtId="0" fontId="0" fillId="19" borderId="141" xfId="0" applyNumberFormat="1" applyFill="1" applyBorder="1"/>
    <xf numFmtId="0" fontId="0" fillId="19" borderId="142" xfId="0" applyNumberFormat="1" applyFill="1" applyBorder="1"/>
    <xf numFmtId="3" fontId="0" fillId="3" borderId="0" xfId="0" applyNumberFormat="1" applyFill="1"/>
    <xf numFmtId="165" fontId="0" fillId="3" borderId="0" xfId="0" applyNumberFormat="1" applyFill="1"/>
    <xf numFmtId="0" fontId="26" fillId="5" borderId="2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10" fontId="0" fillId="3" borderId="11" xfId="8" applyNumberFormat="1" applyFont="1" applyFill="1" applyBorder="1"/>
    <xf numFmtId="0" fontId="0" fillId="3" borderId="0" xfId="0" applyFill="1" applyAlignment="1">
      <alignment horizontal="center"/>
    </xf>
    <xf numFmtId="165" fontId="32" fillId="0" borderId="12" xfId="0" applyNumberFormat="1" applyFont="1" applyBorder="1"/>
    <xf numFmtId="165" fontId="32" fillId="0" borderId="13" xfId="0" applyNumberFormat="1" applyFont="1" applyBorder="1"/>
    <xf numFmtId="167" fontId="19" fillId="0" borderId="12" xfId="8" applyNumberFormat="1" applyFont="1" applyBorder="1"/>
    <xf numFmtId="167" fontId="25" fillId="5" borderId="16" xfId="0" applyNumberFormat="1" applyFont="1" applyFill="1" applyBorder="1"/>
    <xf numFmtId="167" fontId="25" fillId="5" borderId="9" xfId="0" applyNumberFormat="1" applyFont="1" applyFill="1" applyBorder="1"/>
    <xf numFmtId="167" fontId="25" fillId="5" borderId="24" xfId="0" applyNumberFormat="1" applyFont="1" applyFill="1" applyBorder="1"/>
    <xf numFmtId="10" fontId="25" fillId="0" borderId="7" xfId="8" applyNumberFormat="1" applyFont="1" applyBorder="1"/>
    <xf numFmtId="10" fontId="25" fillId="0" borderId="7" xfId="8" applyNumberFormat="1" applyFont="1" applyFill="1" applyBorder="1"/>
    <xf numFmtId="165" fontId="0" fillId="0" borderId="28" xfId="0" applyNumberFormat="1" applyBorder="1"/>
    <xf numFmtId="165" fontId="31" fillId="0" borderId="7" xfId="0" applyNumberFormat="1" applyFont="1" applyFill="1" applyBorder="1"/>
    <xf numFmtId="9" fontId="25" fillId="0" borderId="7" xfId="8" applyFont="1" applyBorder="1"/>
    <xf numFmtId="165" fontId="25" fillId="0" borderId="7" xfId="0" applyNumberFormat="1" applyFont="1" applyBorder="1"/>
    <xf numFmtId="167" fontId="25" fillId="0" borderId="7" xfId="0" applyNumberFormat="1" applyFont="1" applyBorder="1"/>
    <xf numFmtId="173" fontId="41" fillId="13" borderId="11" xfId="7" applyNumberFormat="1" applyFont="1" applyFill="1" applyBorder="1" applyAlignment="1">
      <alignment horizontal="center" vertical="top" wrapText="1"/>
    </xf>
    <xf numFmtId="174" fontId="41" fillId="13" borderId="11" xfId="7" applyNumberFormat="1" applyFont="1" applyFill="1" applyBorder="1" applyAlignment="1">
      <alignment horizontal="center" vertical="top" wrapText="1"/>
    </xf>
    <xf numFmtId="3" fontId="8" fillId="3" borderId="0" xfId="7" applyNumberFormat="1" applyFont="1" applyFill="1" applyBorder="1" applyAlignment="1">
      <alignment horizontal="justify"/>
    </xf>
    <xf numFmtId="3" fontId="9" fillId="3" borderId="0" xfId="7" applyNumberFormat="1" applyFont="1" applyFill="1" applyBorder="1" applyAlignment="1">
      <alignment horizontal="center"/>
    </xf>
    <xf numFmtId="3" fontId="22" fillId="3" borderId="0" xfId="7" applyNumberFormat="1" applyFont="1" applyFill="1"/>
    <xf numFmtId="165" fontId="25" fillId="3" borderId="5" xfId="0" applyNumberFormat="1" applyFont="1" applyFill="1" applyBorder="1"/>
    <xf numFmtId="43" fontId="0" fillId="3" borderId="3" xfId="0" applyNumberFormat="1" applyFill="1" applyBorder="1"/>
    <xf numFmtId="165" fontId="0" fillId="3" borderId="24" xfId="0" applyNumberFormat="1" applyFill="1" applyBorder="1"/>
    <xf numFmtId="10" fontId="19" fillId="3" borderId="7" xfId="8" applyNumberFormat="1" applyFont="1" applyFill="1" applyBorder="1"/>
    <xf numFmtId="10" fontId="19" fillId="3" borderId="24" xfId="8" applyNumberFormat="1" applyFont="1" applyFill="1" applyBorder="1"/>
    <xf numFmtId="0" fontId="33" fillId="3" borderId="0" xfId="0" applyFont="1" applyFill="1"/>
    <xf numFmtId="165" fontId="19" fillId="3" borderId="0" xfId="3" applyNumberFormat="1" applyFont="1" applyFill="1" applyAlignment="1">
      <alignment horizontal="right"/>
    </xf>
    <xf numFmtId="9" fontId="0" fillId="3" borderId="0" xfId="0" applyNumberFormat="1" applyFill="1" applyAlignment="1">
      <alignment horizontal="center"/>
    </xf>
    <xf numFmtId="165" fontId="19" fillId="3" borderId="0" xfId="3" applyNumberFormat="1" applyFont="1" applyFill="1"/>
    <xf numFmtId="165" fontId="0" fillId="3" borderId="0" xfId="0" applyNumberFormat="1" applyFill="1" applyAlignment="1"/>
    <xf numFmtId="9" fontId="19" fillId="3" borderId="0" xfId="8" applyFont="1" applyFill="1" applyAlignment="1">
      <alignment horizontal="left"/>
    </xf>
    <xf numFmtId="9" fontId="19" fillId="3" borderId="0" xfId="8" applyFont="1" applyFill="1" applyAlignment="1"/>
    <xf numFmtId="167" fontId="19" fillId="3" borderId="0" xfId="8" applyNumberFormat="1" applyFont="1" applyFill="1"/>
    <xf numFmtId="167" fontId="0" fillId="3" borderId="0" xfId="0" applyNumberFormat="1" applyFill="1"/>
    <xf numFmtId="3" fontId="0" fillId="0" borderId="0" xfId="0" applyNumberFormat="1"/>
    <xf numFmtId="0" fontId="25" fillId="0" borderId="0" xfId="0" applyFont="1"/>
    <xf numFmtId="1" fontId="0" fillId="0" borderId="0" xfId="0" applyNumberFormat="1"/>
    <xf numFmtId="0" fontId="22" fillId="3" borderId="43" xfId="7" applyFont="1" applyFill="1" applyBorder="1"/>
    <xf numFmtId="167" fontId="22" fillId="3" borderId="43" xfId="8" applyNumberFormat="1" applyFont="1" applyFill="1" applyBorder="1"/>
    <xf numFmtId="175" fontId="22" fillId="3" borderId="0" xfId="8" applyNumberFormat="1" applyFont="1" applyFill="1"/>
    <xf numFmtId="165" fontId="0" fillId="0" borderId="0" xfId="0" applyNumberFormat="1"/>
    <xf numFmtId="0" fontId="0" fillId="0" borderId="0" xfId="0" applyFill="1"/>
    <xf numFmtId="0" fontId="45" fillId="3" borderId="0" xfId="7" applyFont="1" applyFill="1"/>
    <xf numFmtId="0" fontId="46" fillId="3" borderId="0" xfId="7" applyFont="1" applyFill="1"/>
    <xf numFmtId="0" fontId="45" fillId="3" borderId="56" xfId="7" applyFont="1" applyFill="1" applyBorder="1"/>
    <xf numFmtId="0" fontId="26" fillId="5" borderId="24" xfId="0" applyFont="1" applyFill="1" applyBorder="1" applyAlignment="1">
      <alignment horizontal="center" vertical="center" wrapText="1"/>
    </xf>
    <xf numFmtId="0" fontId="0" fillId="0" borderId="0" xfId="0"/>
    <xf numFmtId="0" fontId="25" fillId="3" borderId="0" xfId="0" applyFont="1" applyFill="1"/>
    <xf numFmtId="0" fontId="0" fillId="3" borderId="5" xfId="0" applyFill="1" applyBorder="1"/>
    <xf numFmtId="165" fontId="0" fillId="3" borderId="0" xfId="0" applyNumberFormat="1" applyFill="1"/>
    <xf numFmtId="43" fontId="0" fillId="3" borderId="0" xfId="1" applyFont="1" applyFill="1"/>
    <xf numFmtId="0" fontId="0" fillId="3" borderId="0" xfId="0" applyFill="1"/>
    <xf numFmtId="0" fontId="0" fillId="3" borderId="0" xfId="0" applyFill="1" applyBorder="1"/>
    <xf numFmtId="167" fontId="19" fillId="0" borderId="13" xfId="8" applyNumberFormat="1" applyFont="1" applyBorder="1"/>
    <xf numFmtId="165" fontId="0" fillId="0" borderId="11" xfId="1" applyNumberFormat="1" applyFont="1" applyBorder="1"/>
    <xf numFmtId="165" fontId="0" fillId="0" borderId="14" xfId="1" applyNumberFormat="1" applyFont="1" applyBorder="1"/>
    <xf numFmtId="10" fontId="19" fillId="18" borderId="11" xfId="8" applyNumberFormat="1" applyFont="1" applyFill="1" applyBorder="1"/>
    <xf numFmtId="10" fontId="19" fillId="18" borderId="14" xfId="8" applyNumberFormat="1" applyFont="1" applyFill="1" applyBorder="1"/>
    <xf numFmtId="165" fontId="25" fillId="18" borderId="7" xfId="0" applyNumberFormat="1" applyFont="1" applyFill="1" applyBorder="1"/>
    <xf numFmtId="10" fontId="19" fillId="18" borderId="7" xfId="8" applyNumberFormat="1" applyFont="1" applyFill="1" applyBorder="1"/>
    <xf numFmtId="165" fontId="25" fillId="18" borderId="11" xfId="0" applyNumberFormat="1" applyFont="1" applyFill="1" applyBorder="1"/>
    <xf numFmtId="10" fontId="25" fillId="18" borderId="7" xfId="8" applyNumberFormat="1" applyFont="1" applyFill="1" applyBorder="1"/>
    <xf numFmtId="165" fontId="0" fillId="18" borderId="28" xfId="0" applyNumberFormat="1" applyFill="1" applyBorder="1"/>
    <xf numFmtId="165" fontId="25" fillId="18" borderId="5" xfId="0" applyNumberFormat="1" applyFont="1" applyFill="1" applyBorder="1"/>
    <xf numFmtId="43" fontId="0" fillId="18" borderId="3" xfId="0" applyNumberFormat="1" applyFill="1" applyBorder="1"/>
    <xf numFmtId="167" fontId="19" fillId="18" borderId="20" xfId="8" applyNumberFormat="1" applyFont="1" applyFill="1" applyBorder="1"/>
    <xf numFmtId="167" fontId="19" fillId="18" borderId="22" xfId="8" applyNumberFormat="1" applyFont="1" applyFill="1" applyBorder="1"/>
    <xf numFmtId="9" fontId="25" fillId="18" borderId="15" xfId="8" applyFont="1" applyFill="1" applyBorder="1"/>
    <xf numFmtId="167" fontId="25" fillId="18" borderId="15" xfId="0" applyNumberFormat="1" applyFont="1" applyFill="1" applyBorder="1"/>
    <xf numFmtId="165" fontId="25" fillId="9" borderId="0" xfId="0" applyNumberFormat="1" applyFont="1" applyFill="1"/>
    <xf numFmtId="9" fontId="0" fillId="3" borderId="0" xfId="8" applyFont="1" applyFill="1"/>
    <xf numFmtId="43" fontId="25" fillId="18" borderId="7" xfId="0" applyNumberFormat="1" applyFont="1" applyFill="1" applyBorder="1"/>
    <xf numFmtId="43" fontId="0" fillId="18" borderId="12" xfId="0" applyNumberFormat="1" applyFill="1" applyBorder="1"/>
    <xf numFmtId="43" fontId="0" fillId="18" borderId="13" xfId="0" applyNumberFormat="1" applyFill="1" applyBorder="1"/>
    <xf numFmtId="165" fontId="25" fillId="0" borderId="0" xfId="0" applyNumberFormat="1" applyFont="1" applyAlignment="1">
      <alignment horizontal="center"/>
    </xf>
    <xf numFmtId="0" fontId="25" fillId="0" borderId="0" xfId="0" applyFont="1" applyAlignment="1">
      <alignment horizontal="center"/>
    </xf>
    <xf numFmtId="165" fontId="25" fillId="0" borderId="0" xfId="0" applyNumberFormat="1" applyFont="1"/>
    <xf numFmtId="165" fontId="0" fillId="0" borderId="13" xfId="1" applyNumberFormat="1" applyFont="1" applyBorder="1" applyAlignment="1">
      <alignment horizontal="right"/>
    </xf>
    <xf numFmtId="165" fontId="0" fillId="0" borderId="53" xfId="1" applyNumberFormat="1" applyFont="1" applyBorder="1" applyAlignment="1">
      <alignment horizontal="right"/>
    </xf>
    <xf numFmtId="165" fontId="0" fillId="0" borderId="54" xfId="1" applyNumberFormat="1" applyFont="1" applyBorder="1" applyAlignment="1">
      <alignment horizontal="right"/>
    </xf>
    <xf numFmtId="165" fontId="0" fillId="0" borderId="52" xfId="1" applyNumberFormat="1" applyFont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65" fontId="0" fillId="0" borderId="55" xfId="1" applyNumberFormat="1" applyFont="1" applyBorder="1" applyAlignment="1">
      <alignment horizontal="right"/>
    </xf>
    <xf numFmtId="165" fontId="0" fillId="0" borderId="44" xfId="1" applyNumberFormat="1" applyFont="1" applyBorder="1" applyAlignment="1">
      <alignment horizontal="right"/>
    </xf>
    <xf numFmtId="165" fontId="0" fillId="0" borderId="56" xfId="1" applyNumberFormat="1" applyFont="1" applyBorder="1" applyAlignment="1">
      <alignment horizontal="right"/>
    </xf>
    <xf numFmtId="165" fontId="25" fillId="0" borderId="42" xfId="1" applyNumberFormat="1" applyFont="1" applyBorder="1" applyAlignment="1">
      <alignment horizontal="right"/>
    </xf>
    <xf numFmtId="0" fontId="26" fillId="5" borderId="24" xfId="0" applyFont="1" applyFill="1" applyBorder="1" applyAlignment="1">
      <alignment horizontal="center" vertical="center" wrapText="1"/>
    </xf>
    <xf numFmtId="43" fontId="0" fillId="0" borderId="0" xfId="0" applyNumberFormat="1"/>
    <xf numFmtId="43" fontId="0" fillId="0" borderId="0" xfId="0" applyNumberFormat="1" applyBorder="1"/>
    <xf numFmtId="0" fontId="0" fillId="0" borderId="0" xfId="0" applyBorder="1"/>
    <xf numFmtId="10" fontId="0" fillId="0" borderId="0" xfId="8" applyNumberFormat="1" applyFont="1"/>
    <xf numFmtId="0" fontId="26" fillId="5" borderId="24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9" fontId="25" fillId="0" borderId="8" xfId="8" applyFont="1" applyBorder="1"/>
    <xf numFmtId="167" fontId="25" fillId="0" borderId="8" xfId="0" applyNumberFormat="1" applyFont="1" applyBorder="1"/>
    <xf numFmtId="0" fontId="24" fillId="11" borderId="126" xfId="7" applyFont="1" applyFill="1" applyBorder="1" applyAlignment="1">
      <alignment horizontal="center" vertical="center" wrapText="1"/>
    </xf>
    <xf numFmtId="0" fontId="24" fillId="11" borderId="127" xfId="7" applyFont="1" applyFill="1" applyBorder="1" applyAlignment="1">
      <alignment horizontal="center" vertical="center" wrapText="1"/>
    </xf>
    <xf numFmtId="0" fontId="24" fillId="11" borderId="128" xfId="7" applyFont="1" applyFill="1" applyBorder="1" applyAlignment="1">
      <alignment horizontal="center" vertical="center" wrapText="1"/>
    </xf>
    <xf numFmtId="0" fontId="24" fillId="11" borderId="129" xfId="7" applyFont="1" applyFill="1" applyBorder="1" applyAlignment="1">
      <alignment horizontal="center" vertical="center" wrapText="1"/>
    </xf>
    <xf numFmtId="0" fontId="24" fillId="11" borderId="130" xfId="7" applyFont="1" applyFill="1" applyBorder="1" applyAlignment="1">
      <alignment horizontal="center" vertical="top" wrapText="1"/>
    </xf>
    <xf numFmtId="0" fontId="24" fillId="11" borderId="131" xfId="7" applyFont="1" applyFill="1" applyBorder="1" applyAlignment="1">
      <alignment horizontal="center" vertical="top" wrapText="1"/>
    </xf>
    <xf numFmtId="0" fontId="24" fillId="11" borderId="132" xfId="7" applyFont="1" applyFill="1" applyBorder="1" applyAlignment="1">
      <alignment horizontal="center" vertical="top" wrapText="1"/>
    </xf>
    <xf numFmtId="0" fontId="24" fillId="11" borderId="111" xfId="7" applyFont="1" applyFill="1" applyBorder="1" applyAlignment="1">
      <alignment horizontal="center" vertical="center" wrapText="1"/>
    </xf>
    <xf numFmtId="0" fontId="24" fillId="11" borderId="105" xfId="7" applyFont="1" applyFill="1" applyBorder="1" applyAlignment="1">
      <alignment horizontal="center" vertical="center" wrapText="1"/>
    </xf>
    <xf numFmtId="0" fontId="24" fillId="3" borderId="0" xfId="7" applyFont="1" applyFill="1" applyBorder="1" applyAlignment="1">
      <alignment horizontal="center" vertical="center" textRotation="90" wrapText="1"/>
    </xf>
    <xf numFmtId="0" fontId="24" fillId="3" borderId="123" xfId="7" applyFont="1" applyFill="1" applyBorder="1" applyAlignment="1">
      <alignment horizontal="left" vertical="center" wrapText="1"/>
    </xf>
    <xf numFmtId="0" fontId="24" fillId="3" borderId="1" xfId="7" applyFont="1" applyFill="1" applyBorder="1" applyAlignment="1">
      <alignment horizontal="left" vertical="center" wrapText="1"/>
    </xf>
    <xf numFmtId="0" fontId="24" fillId="3" borderId="124" xfId="7" applyFont="1" applyFill="1" applyBorder="1" applyAlignment="1">
      <alignment horizontal="left" vertical="center" wrapText="1"/>
    </xf>
    <xf numFmtId="0" fontId="41" fillId="11" borderId="114" xfId="7" applyFont="1" applyFill="1" applyBorder="1" applyAlignment="1">
      <alignment horizontal="left" vertical="top" wrapText="1"/>
    </xf>
    <xf numFmtId="0" fontId="41" fillId="11" borderId="125" xfId="7" applyFont="1" applyFill="1" applyBorder="1" applyAlignment="1">
      <alignment horizontal="left" vertical="top" wrapText="1"/>
    </xf>
    <xf numFmtId="0" fontId="41" fillId="11" borderId="2" xfId="7" applyFont="1" applyFill="1" applyBorder="1" applyAlignment="1">
      <alignment horizontal="left" vertical="top" wrapText="1"/>
    </xf>
    <xf numFmtId="0" fontId="41" fillId="11" borderId="115" xfId="7" applyFont="1" applyFill="1" applyBorder="1" applyAlignment="1">
      <alignment horizontal="left" vertical="top" wrapText="1"/>
    </xf>
    <xf numFmtId="0" fontId="48" fillId="9" borderId="120" xfId="7" applyFont="1" applyFill="1" applyBorder="1" applyAlignment="1">
      <alignment horizontal="center" vertical="center"/>
    </xf>
    <xf numFmtId="0" fontId="24" fillId="3" borderId="1" xfId="7" applyFont="1" applyFill="1" applyBorder="1" applyAlignment="1">
      <alignment horizontal="center" vertical="center" textRotation="90" wrapText="1"/>
    </xf>
    <xf numFmtId="0" fontId="24" fillId="11" borderId="121" xfId="7" applyFont="1" applyFill="1" applyBorder="1" applyAlignment="1">
      <alignment horizontal="center" vertical="center" wrapText="1"/>
    </xf>
    <xf numFmtId="0" fontId="24" fillId="11" borderId="122" xfId="7" applyFont="1" applyFill="1" applyBorder="1" applyAlignment="1">
      <alignment horizontal="center" vertical="center" wrapText="1"/>
    </xf>
    <xf numFmtId="0" fontId="42" fillId="9" borderId="2" xfId="7" applyFont="1" applyFill="1" applyBorder="1" applyAlignment="1">
      <alignment horizontal="left" vertical="top" wrapText="1"/>
    </xf>
    <xf numFmtId="0" fontId="42" fillId="9" borderId="115" xfId="7" applyFont="1" applyFill="1" applyBorder="1" applyAlignment="1">
      <alignment horizontal="left" vertical="top" wrapText="1"/>
    </xf>
    <xf numFmtId="0" fontId="24" fillId="11" borderId="30" xfId="7" applyFont="1" applyFill="1" applyBorder="1" applyAlignment="1">
      <alignment horizontal="center" vertical="center" wrapText="1"/>
    </xf>
    <xf numFmtId="0" fontId="24" fillId="11" borderId="11" xfId="7" applyFont="1" applyFill="1" applyBorder="1" applyAlignment="1">
      <alignment horizontal="center" vertical="center" wrapText="1"/>
    </xf>
    <xf numFmtId="0" fontId="24" fillId="11" borderId="31" xfId="7" applyFont="1" applyFill="1" applyBorder="1" applyAlignment="1">
      <alignment horizontal="center" vertical="center" wrapText="1"/>
    </xf>
    <xf numFmtId="0" fontId="24" fillId="11" borderId="133" xfId="7" applyFont="1" applyFill="1" applyBorder="1" applyAlignment="1">
      <alignment horizontal="center" vertical="center" wrapText="1"/>
    </xf>
    <xf numFmtId="0" fontId="24" fillId="11" borderId="59" xfId="7" applyFont="1" applyFill="1" applyBorder="1" applyAlignment="1">
      <alignment horizontal="center" vertical="center" wrapText="1"/>
    </xf>
    <xf numFmtId="0" fontId="24" fillId="11" borderId="60" xfId="7" applyFont="1" applyFill="1" applyBorder="1" applyAlignment="1">
      <alignment horizontal="center" vertical="center" wrapText="1"/>
    </xf>
    <xf numFmtId="0" fontId="24" fillId="3" borderId="48" xfId="7" applyFont="1" applyFill="1" applyBorder="1" applyAlignment="1">
      <alignment horizontal="left" vertical="center" wrapText="1"/>
    </xf>
    <xf numFmtId="0" fontId="49" fillId="9" borderId="57" xfId="0" applyFont="1" applyFill="1" applyBorder="1" applyAlignment="1">
      <alignment horizontal="center" vertical="center" wrapText="1"/>
    </xf>
    <xf numFmtId="0" fontId="49" fillId="9" borderId="58" xfId="0" applyFont="1" applyFill="1" applyBorder="1" applyAlignment="1">
      <alignment horizontal="center" vertical="center" wrapText="1"/>
    </xf>
    <xf numFmtId="0" fontId="24" fillId="11" borderId="40" xfId="7" applyFont="1" applyFill="1" applyBorder="1" applyAlignment="1">
      <alignment horizontal="center" vertical="center" wrapText="1"/>
    </xf>
    <xf numFmtId="0" fontId="24" fillId="11" borderId="19" xfId="7" applyFont="1" applyFill="1" applyBorder="1" applyAlignment="1">
      <alignment horizontal="center" vertical="center" wrapText="1"/>
    </xf>
    <xf numFmtId="0" fontId="24" fillId="11" borderId="14" xfId="7" applyFont="1" applyFill="1" applyBorder="1" applyAlignment="1">
      <alignment horizontal="center" vertical="center" wrapText="1"/>
    </xf>
    <xf numFmtId="0" fontId="24" fillId="11" borderId="43" xfId="7" applyFont="1" applyFill="1" applyBorder="1" applyAlignment="1">
      <alignment horizontal="center" vertical="center" wrapText="1"/>
    </xf>
    <xf numFmtId="0" fontId="24" fillId="11" borderId="25" xfId="7" applyFont="1" applyFill="1" applyBorder="1" applyAlignment="1">
      <alignment horizontal="center" vertical="center" wrapText="1"/>
    </xf>
    <xf numFmtId="0" fontId="24" fillId="11" borderId="61" xfId="7" applyFont="1" applyFill="1" applyBorder="1" applyAlignment="1">
      <alignment horizontal="center" vertical="center" wrapText="1"/>
    </xf>
    <xf numFmtId="0" fontId="24" fillId="11" borderId="47" xfId="7" applyFont="1" applyFill="1" applyBorder="1" applyAlignment="1">
      <alignment horizontal="center" vertical="center" wrapText="1"/>
    </xf>
    <xf numFmtId="0" fontId="24" fillId="11" borderId="10" xfId="7" applyFont="1" applyFill="1" applyBorder="1" applyAlignment="1">
      <alignment horizontal="center" vertical="center" wrapText="1"/>
    </xf>
    <xf numFmtId="0" fontId="24" fillId="11" borderId="36" xfId="7" applyFont="1" applyFill="1" applyBorder="1" applyAlignment="1">
      <alignment horizontal="center" vertical="center" wrapText="1"/>
    </xf>
    <xf numFmtId="0" fontId="24" fillId="11" borderId="44" xfId="7" applyFont="1" applyFill="1" applyBorder="1" applyAlignment="1">
      <alignment horizontal="center" vertical="center" wrapText="1"/>
    </xf>
    <xf numFmtId="0" fontId="24" fillId="11" borderId="42" xfId="7" applyFont="1" applyFill="1" applyBorder="1" applyAlignment="1">
      <alignment horizontal="center" vertical="center" wrapText="1"/>
    </xf>
    <xf numFmtId="0" fontId="24" fillId="11" borderId="41" xfId="7" applyFont="1" applyFill="1" applyBorder="1" applyAlignment="1">
      <alignment horizontal="center" vertical="center" wrapText="1"/>
    </xf>
    <xf numFmtId="0" fontId="24" fillId="11" borderId="32" xfId="7" applyFont="1" applyFill="1" applyBorder="1" applyAlignment="1">
      <alignment horizontal="center" vertical="center" wrapText="1"/>
    </xf>
    <xf numFmtId="0" fontId="24" fillId="11" borderId="12" xfId="7" applyFont="1" applyFill="1" applyBorder="1" applyAlignment="1">
      <alignment horizontal="center" vertical="center" wrapText="1"/>
    </xf>
    <xf numFmtId="0" fontId="24" fillId="11" borderId="49" xfId="7" applyFont="1" applyFill="1" applyBorder="1" applyAlignment="1">
      <alignment horizontal="center" vertical="center" wrapText="1"/>
    </xf>
    <xf numFmtId="0" fontId="24" fillId="11" borderId="23" xfId="7" applyFont="1" applyFill="1" applyBorder="1" applyAlignment="1">
      <alignment horizontal="center" vertical="center" wrapText="1"/>
    </xf>
    <xf numFmtId="0" fontId="41" fillId="11" borderId="1" xfId="7" applyFont="1" applyFill="1" applyBorder="1" applyAlignment="1">
      <alignment horizontal="left" vertical="top" wrapText="1"/>
    </xf>
    <xf numFmtId="0" fontId="41" fillId="11" borderId="129" xfId="7" applyFont="1" applyFill="1" applyBorder="1" applyAlignment="1">
      <alignment horizontal="left" vertical="top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wrapText="1"/>
    </xf>
    <xf numFmtId="0" fontId="24" fillId="9" borderId="3" xfId="0" applyFont="1" applyFill="1" applyBorder="1" applyAlignment="1">
      <alignment horizontal="center" wrapText="1"/>
    </xf>
    <xf numFmtId="0" fontId="24" fillId="9" borderId="3" xfId="0" applyFont="1" applyFill="1" applyBorder="1" applyAlignment="1">
      <alignment horizontal="center"/>
    </xf>
    <xf numFmtId="0" fontId="24" fillId="16" borderId="3" xfId="0" applyFont="1" applyFill="1" applyBorder="1" applyAlignment="1">
      <alignment horizontal="center" wrapText="1"/>
    </xf>
    <xf numFmtId="0" fontId="24" fillId="17" borderId="3" xfId="0" applyFont="1" applyFill="1" applyBorder="1" applyAlignment="1">
      <alignment horizontal="center" wrapText="1"/>
    </xf>
    <xf numFmtId="0" fontId="24" fillId="10" borderId="3" xfId="0" applyFont="1" applyFill="1" applyBorder="1" applyAlignment="1">
      <alignment horizontal="center" wrapText="1"/>
    </xf>
    <xf numFmtId="0" fontId="24" fillId="10" borderId="3" xfId="0" applyFont="1" applyFill="1" applyBorder="1" applyAlignment="1">
      <alignment horizontal="center"/>
    </xf>
    <xf numFmtId="0" fontId="25" fillId="3" borderId="0" xfId="0" applyFont="1" applyFill="1" applyBorder="1" applyAlignment="1">
      <alignment horizontal="left" wrapText="1"/>
    </xf>
    <xf numFmtId="0" fontId="0" fillId="3" borderId="0" xfId="0" applyFill="1" applyAlignment="1">
      <alignment horizontal="center"/>
    </xf>
    <xf numFmtId="0" fontId="26" fillId="5" borderId="37" xfId="0" applyFont="1" applyFill="1" applyBorder="1" applyAlignment="1">
      <alignment horizontal="center" vertical="center" wrapText="1"/>
    </xf>
    <xf numFmtId="0" fontId="26" fillId="5" borderId="43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46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0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6" fillId="5" borderId="34" xfId="0" applyFont="1" applyFill="1" applyBorder="1" applyAlignment="1">
      <alignment horizontal="center" vertical="center" wrapText="1"/>
    </xf>
    <xf numFmtId="0" fontId="25" fillId="7" borderId="5" xfId="0" applyFont="1" applyFill="1" applyBorder="1" applyAlignment="1">
      <alignment horizontal="center"/>
    </xf>
    <xf numFmtId="0" fontId="25" fillId="7" borderId="0" xfId="0" applyFont="1" applyFill="1" applyBorder="1" applyAlignment="1">
      <alignment horizontal="center"/>
    </xf>
    <xf numFmtId="0" fontId="29" fillId="5" borderId="16" xfId="0" applyFont="1" applyFill="1" applyBorder="1" applyAlignment="1">
      <alignment horizontal="center"/>
    </xf>
    <xf numFmtId="0" fontId="29" fillId="5" borderId="24" xfId="0" applyFont="1" applyFill="1" applyBorder="1" applyAlignment="1">
      <alignment horizontal="center"/>
    </xf>
    <xf numFmtId="0" fontId="29" fillId="5" borderId="17" xfId="0" applyFont="1" applyFill="1" applyBorder="1" applyAlignment="1">
      <alignment horizontal="center"/>
    </xf>
    <xf numFmtId="0" fontId="29" fillId="5" borderId="2" xfId="0" applyFont="1" applyFill="1" applyBorder="1" applyAlignment="1">
      <alignment horizontal="center"/>
    </xf>
    <xf numFmtId="0" fontId="29" fillId="5" borderId="3" xfId="0" applyFont="1" applyFill="1" applyBorder="1" applyAlignment="1">
      <alignment horizontal="center"/>
    </xf>
  </cellXfs>
  <cellStyles count="1377">
    <cellStyle name="???????????" xfId="59"/>
    <cellStyle name="???????_2++" xfId="60"/>
    <cellStyle name="20 % - Akzent1" xfId="78" hidden="1"/>
    <cellStyle name="20 % - Akzent1" xfId="949" hidden="1"/>
    <cellStyle name="20 % - Akzent1" xfId="1328" hidden="1"/>
    <cellStyle name="20 % - Akzent1 2" xfId="401"/>
    <cellStyle name="20 % - Akzent1 3" xfId="270"/>
    <cellStyle name="20 % - Akzent2" xfId="81" hidden="1"/>
    <cellStyle name="20 % - Akzent2" xfId="952" hidden="1"/>
    <cellStyle name="20 % - Akzent2" xfId="1306" hidden="1"/>
    <cellStyle name="20 % - Akzent2 2" xfId="402"/>
    <cellStyle name="20 % - Akzent2 3" xfId="271"/>
    <cellStyle name="20 % - Akzent3" xfId="84" hidden="1"/>
    <cellStyle name="20 % - Akzent3" xfId="955" hidden="1"/>
    <cellStyle name="20 % - Akzent3" xfId="1259" hidden="1"/>
    <cellStyle name="20 % - Akzent3 2" xfId="403"/>
    <cellStyle name="20 % - Akzent3 3" xfId="272"/>
    <cellStyle name="20 % - Akzent4" xfId="87" hidden="1"/>
    <cellStyle name="20 % - Akzent4" xfId="958" hidden="1"/>
    <cellStyle name="20 % - Akzent4" xfId="1209" hidden="1"/>
    <cellStyle name="20 % - Akzent4 2" xfId="404"/>
    <cellStyle name="20 % - Akzent4 3" xfId="273"/>
    <cellStyle name="20 % - Akzent5" xfId="90" hidden="1"/>
    <cellStyle name="20 % - Akzent5" xfId="961" hidden="1"/>
    <cellStyle name="20 % - Akzent5" xfId="1244" hidden="1"/>
    <cellStyle name="20 % - Akzent5 2" xfId="405"/>
    <cellStyle name="20 % - Akzent5 3" xfId="274"/>
    <cellStyle name="20 % - Akzent6" xfId="93" hidden="1"/>
    <cellStyle name="20 % - Akzent6" xfId="964" hidden="1"/>
    <cellStyle name="20 % - Akzent6" xfId="1257" hidden="1"/>
    <cellStyle name="20 % - Akzent6 2" xfId="406"/>
    <cellStyle name="20 % - Akzent6 3" xfId="275"/>
    <cellStyle name="20% - Accent1 2" xfId="107"/>
    <cellStyle name="20% - Accent1 3" xfId="227"/>
    <cellStyle name="20% - Accent2 2" xfId="108"/>
    <cellStyle name="20% - Accent2 3" xfId="228"/>
    <cellStyle name="20% - Accent3 2" xfId="109"/>
    <cellStyle name="20% - Accent3 3" xfId="229"/>
    <cellStyle name="20% - Accent4 2" xfId="110"/>
    <cellStyle name="20% - Accent4 3" xfId="230"/>
    <cellStyle name="20% - Accent5 2" xfId="111"/>
    <cellStyle name="20% - Accent5 3" xfId="231"/>
    <cellStyle name="20% - Accent6 2" xfId="112"/>
    <cellStyle name="20% - Accent6 3" xfId="232"/>
    <cellStyle name="2x indented GHG Textfiels" xfId="29"/>
    <cellStyle name="2x indented GHG Textfiels 2" xfId="113"/>
    <cellStyle name="2x indented GHG Textfiels 2 2" xfId="114"/>
    <cellStyle name="2x indented GHG Textfiels 3" xfId="115"/>
    <cellStyle name="2x indented GHG Textfiels 3 2" xfId="428"/>
    <cellStyle name="2x indented GHG Textfiels 3 2 2" xfId="558"/>
    <cellStyle name="2x indented GHG Textfiels 3 2 2 2" xfId="773"/>
    <cellStyle name="2x indented GHG Textfiels 3 2 2 2 2" xfId="1004"/>
    <cellStyle name="2x indented GHG Textfiels 3 2 2 3" xfId="1188"/>
    <cellStyle name="2x indented GHG Textfiels 3 2 3" xfId="736"/>
    <cellStyle name="2x indented GHG Textfiels 3 2 3 2" xfId="1230"/>
    <cellStyle name="2x indented GHG Textfiels 3 3" xfId="376"/>
    <cellStyle name="2x indented GHG Textfiels 3 3 2" xfId="663"/>
    <cellStyle name="2x indented GHG Textfiels 3 3 2 2" xfId="878"/>
    <cellStyle name="2x indented GHG Textfiels 3 3 2 2 2" xfId="1031"/>
    <cellStyle name="2x indented GHG Textfiels 3 3 2 3" xfId="1250"/>
    <cellStyle name="2x indented GHG Textfiels 3 3 3" xfId="665"/>
    <cellStyle name="2x indented GHG Textfiels 3 3 3 2" xfId="880"/>
    <cellStyle name="2x indented GHG Textfiels 3 3 3 2 2" xfId="1030"/>
    <cellStyle name="2x indented GHG Textfiels 3 3 3 3" xfId="1242"/>
    <cellStyle name="2x indented GHG Textfiels 3 3 4" xfId="561"/>
    <cellStyle name="2x indented GHG Textfiels 3 3 4 2" xfId="776"/>
    <cellStyle name="2x indented GHG Textfiels 3 3 4 2 2" xfId="1053"/>
    <cellStyle name="2x indented GHG Textfiels 3 3 4 3" xfId="1194"/>
    <cellStyle name="2x indented GHG Textfiels 3 3 5" xfId="1154"/>
    <cellStyle name="40 % - Akzent1" xfId="79" hidden="1"/>
    <cellStyle name="40 % - Akzent1" xfId="950" hidden="1"/>
    <cellStyle name="40 % - Akzent1" xfId="1227" hidden="1"/>
    <cellStyle name="40 % - Akzent1 2" xfId="407"/>
    <cellStyle name="40 % - Akzent1 3" xfId="276"/>
    <cellStyle name="40 % - Akzent2" xfId="82" hidden="1"/>
    <cellStyle name="40 % - Akzent2" xfId="953" hidden="1"/>
    <cellStyle name="40 % - Akzent2" xfId="1202" hidden="1"/>
    <cellStyle name="40 % - Akzent2 2" xfId="408"/>
    <cellStyle name="40 % - Akzent2 3" xfId="277"/>
    <cellStyle name="40 % - Akzent3" xfId="85" hidden="1"/>
    <cellStyle name="40 % - Akzent3" xfId="956" hidden="1"/>
    <cellStyle name="40 % - Akzent3" xfId="1335" hidden="1"/>
    <cellStyle name="40 % - Akzent3 2" xfId="409"/>
    <cellStyle name="40 % - Akzent3 3" xfId="278"/>
    <cellStyle name="40 % - Akzent4" xfId="88" hidden="1"/>
    <cellStyle name="40 % - Akzent4" xfId="959" hidden="1"/>
    <cellStyle name="40 % - Akzent4" xfId="1057" hidden="1"/>
    <cellStyle name="40 % - Akzent4 2" xfId="410"/>
    <cellStyle name="40 % - Akzent4 3" xfId="279"/>
    <cellStyle name="40 % - Akzent5" xfId="91" hidden="1"/>
    <cellStyle name="40 % - Akzent5" xfId="962" hidden="1"/>
    <cellStyle name="40 % - Akzent5" xfId="1300" hidden="1"/>
    <cellStyle name="40 % - Akzent5 2" xfId="411"/>
    <cellStyle name="40 % - Akzent5 3" xfId="280"/>
    <cellStyle name="40 % - Akzent6" xfId="94" hidden="1"/>
    <cellStyle name="40 % - Akzent6" xfId="965" hidden="1"/>
    <cellStyle name="40 % - Akzent6" xfId="1313" hidden="1"/>
    <cellStyle name="40 % - Akzent6 2" xfId="412"/>
    <cellStyle name="40 % - Akzent6 3" xfId="281"/>
    <cellStyle name="40% - Accent1 2" xfId="116"/>
    <cellStyle name="40% - Accent1 3" xfId="233"/>
    <cellStyle name="40% - Accent2 2" xfId="117"/>
    <cellStyle name="40% - Accent2 3" xfId="234"/>
    <cellStyle name="40% - Accent3 2" xfId="118"/>
    <cellStyle name="40% - Accent3 3" xfId="235"/>
    <cellStyle name="40% - Accent4 2" xfId="119"/>
    <cellStyle name="40% - Accent4 3" xfId="236"/>
    <cellStyle name="40% - Accent5 2" xfId="120"/>
    <cellStyle name="40% - Accent5 3" xfId="237"/>
    <cellStyle name="40% - Accent6 2" xfId="121"/>
    <cellStyle name="40% - Accent6 3" xfId="238"/>
    <cellStyle name="5x indented GHG Textfiels" xfId="33"/>
    <cellStyle name="5x indented GHG Textfiels 2" xfId="122"/>
    <cellStyle name="5x indented GHG Textfiels 2 2" xfId="123"/>
    <cellStyle name="5x indented GHG Textfiels 3" xfId="124"/>
    <cellStyle name="5x indented GHG Textfiels 3 2" xfId="429"/>
    <cellStyle name="5x indented GHG Textfiels 3 3" xfId="377"/>
    <cellStyle name="5x indented GHG Textfiels 3 3 2" xfId="664"/>
    <cellStyle name="5x indented GHG Textfiels 3 3 2 2" xfId="879"/>
    <cellStyle name="5x indented GHG Textfiels 3 3 2 2 2" xfId="974"/>
    <cellStyle name="5x indented GHG Textfiels 3 3 2 3" xfId="1343"/>
    <cellStyle name="5x indented GHG Textfiels 3 3 3" xfId="611"/>
    <cellStyle name="5x indented GHG Textfiels 3 3 3 2" xfId="826"/>
    <cellStyle name="5x indented GHG Textfiels 3 3 3 2 2" xfId="1141"/>
    <cellStyle name="5x indented GHG Textfiels 3 3 3 3" xfId="1338"/>
    <cellStyle name="5x indented GHG Textfiels 3 3 4" xfId="695"/>
    <cellStyle name="5x indented GHG Textfiels 3 3 4 2" xfId="910"/>
    <cellStyle name="5x indented GHG Textfiels 3 3 4 2 2" xfId="1368"/>
    <cellStyle name="5x indented GHG Textfiels 3 3 4 3" xfId="1177"/>
    <cellStyle name="5x indented GHG Textfiels 3 3 5" xfId="732"/>
    <cellStyle name="5x indented GHG Textfiels 3 3 6" xfId="1024"/>
    <cellStyle name="5x indented GHG Textfiels_Table 4(II)" xfId="219"/>
    <cellStyle name="60 % - Akzent1" xfId="80" hidden="1"/>
    <cellStyle name="60 % - Akzent1" xfId="951" hidden="1"/>
    <cellStyle name="60 % - Akzent1" xfId="1091" hidden="1"/>
    <cellStyle name="60 % - Akzent1 2" xfId="413"/>
    <cellStyle name="60 % - Akzent1 3" xfId="282"/>
    <cellStyle name="60 % - Akzent2" xfId="83" hidden="1"/>
    <cellStyle name="60 % - Akzent2" xfId="954" hidden="1"/>
    <cellStyle name="60 % - Akzent2" xfId="1156" hidden="1"/>
    <cellStyle name="60 % - Akzent2 2" xfId="414"/>
    <cellStyle name="60 % - Akzent2 3" xfId="283"/>
    <cellStyle name="60 % - Akzent3" xfId="86" hidden="1"/>
    <cellStyle name="60 % - Akzent3" xfId="957" hidden="1"/>
    <cellStyle name="60 % - Akzent3" xfId="1235" hidden="1"/>
    <cellStyle name="60 % - Akzent3 2" xfId="415"/>
    <cellStyle name="60 % - Akzent3 3" xfId="284"/>
    <cellStyle name="60 % - Akzent4" xfId="89" hidden="1"/>
    <cellStyle name="60 % - Akzent4" xfId="960" hidden="1"/>
    <cellStyle name="60 % - Akzent4" xfId="1258" hidden="1"/>
    <cellStyle name="60 % - Akzent4 2" xfId="416"/>
    <cellStyle name="60 % - Akzent4 3" xfId="285"/>
    <cellStyle name="60 % - Akzent5" xfId="92" hidden="1"/>
    <cellStyle name="60 % - Akzent5" xfId="963" hidden="1"/>
    <cellStyle name="60 % - Akzent5" xfId="1195" hidden="1"/>
    <cellStyle name="60 % - Akzent5 2" xfId="417"/>
    <cellStyle name="60 % - Akzent5 3" xfId="286"/>
    <cellStyle name="60 % - Akzent6" xfId="95" hidden="1"/>
    <cellStyle name="60 % - Akzent6" xfId="966" hidden="1"/>
    <cellStyle name="60 % - Akzent6" xfId="1211" hidden="1"/>
    <cellStyle name="60 % - Akzent6 2" xfId="418"/>
    <cellStyle name="60 % - Akzent6 3" xfId="287"/>
    <cellStyle name="60% - Accent1 2" xfId="125"/>
    <cellStyle name="60% - Accent1 3" xfId="239"/>
    <cellStyle name="60% - Accent2 2" xfId="126"/>
    <cellStyle name="60% - Accent2 3" xfId="240"/>
    <cellStyle name="60% - Accent3 2" xfId="127"/>
    <cellStyle name="60% - Accent3 3" xfId="241"/>
    <cellStyle name="60% - Accent4 2" xfId="128"/>
    <cellStyle name="60% - Accent4 3" xfId="242"/>
    <cellStyle name="60% - Accent5 2" xfId="129"/>
    <cellStyle name="60% - Accent5 3" xfId="243"/>
    <cellStyle name="60% - Accent6 2" xfId="130"/>
    <cellStyle name="60% - Accent6 3" xfId="244"/>
    <cellStyle name="Accent1 2" xfId="131"/>
    <cellStyle name="Accent1 3" xfId="245"/>
    <cellStyle name="Accent1 4" xfId="378"/>
    <cellStyle name="Accent2 2" xfId="132"/>
    <cellStyle name="Accent2 3" xfId="246"/>
    <cellStyle name="Accent2 4" xfId="379"/>
    <cellStyle name="Accent3 2" xfId="133"/>
    <cellStyle name="Accent3 3" xfId="247"/>
    <cellStyle name="Accent3 4" xfId="380"/>
    <cellStyle name="Accent4 2" xfId="134"/>
    <cellStyle name="Accent4 3" xfId="248"/>
    <cellStyle name="Accent4 4" xfId="381"/>
    <cellStyle name="Accent5 2" xfId="135"/>
    <cellStyle name="Accent5 3" xfId="249"/>
    <cellStyle name="Accent5 4" xfId="382"/>
    <cellStyle name="Accent6 2" xfId="136"/>
    <cellStyle name="Accent6 3" xfId="250"/>
    <cellStyle name="Accent6 4" xfId="383"/>
    <cellStyle name="AggblueBoldCels" xfId="137"/>
    <cellStyle name="AggblueBoldCels 2" xfId="138"/>
    <cellStyle name="AggblueCels" xfId="54"/>
    <cellStyle name="AggblueCels 2" xfId="139"/>
    <cellStyle name="AggblueCels_1x" xfId="53"/>
    <cellStyle name="AggBoldCells" xfId="27"/>
    <cellStyle name="AggBoldCells 2" xfId="140"/>
    <cellStyle name="AggBoldCells 3" xfId="220"/>
    <cellStyle name="AggBoldCells 4" xfId="372"/>
    <cellStyle name="AggCels" xfId="30"/>
    <cellStyle name="AggCels 2" xfId="141"/>
    <cellStyle name="AggCels 3" xfId="221"/>
    <cellStyle name="AggCels 4" xfId="373"/>
    <cellStyle name="AggCels_T(2)" xfId="28"/>
    <cellStyle name="AggGreen" xfId="44"/>
    <cellStyle name="AggGreen 2" xfId="142"/>
    <cellStyle name="AggGreen 2 2" xfId="431"/>
    <cellStyle name="AggGreen 2 2 2" xfId="608"/>
    <cellStyle name="AggGreen 2 2 2 2" xfId="823"/>
    <cellStyle name="AggGreen 2 2 2 2 2" xfId="1333"/>
    <cellStyle name="AggGreen 2 2 2 3" xfId="1324"/>
    <cellStyle name="AggGreen 2 2 3" xfId="738"/>
    <cellStyle name="AggGreen 2 2 3 2" xfId="1175"/>
    <cellStyle name="AggGreen 2 3" xfId="289"/>
    <cellStyle name="AggGreen 2 3 2" xfId="628"/>
    <cellStyle name="AggGreen 2 3 2 2" xfId="843"/>
    <cellStyle name="AggGreen 2 3 2 2 2" xfId="1069"/>
    <cellStyle name="AggGreen 2 3 2 3" xfId="972"/>
    <cellStyle name="AggGreen 2 3 3" xfId="697"/>
    <cellStyle name="AggGreen 2 3 3 2" xfId="912"/>
    <cellStyle name="AggGreen 2 3 3 2 2" xfId="1370"/>
    <cellStyle name="AggGreen 2 3 3 3" xfId="1173"/>
    <cellStyle name="AggGreen 2 3 4" xfId="693"/>
    <cellStyle name="AggGreen 2 3 4 2" xfId="908"/>
    <cellStyle name="AggGreen 2 3 4 2 2" xfId="1366"/>
    <cellStyle name="AggGreen 2 3 4 3" xfId="1146"/>
    <cellStyle name="AggGreen 2 3 5" xfId="1094"/>
    <cellStyle name="AggGreen 3" xfId="430"/>
    <cellStyle name="AggGreen 3 2" xfId="557"/>
    <cellStyle name="AggGreen 3 2 2" xfId="772"/>
    <cellStyle name="AggGreen 3 2 2 2" xfId="938"/>
    <cellStyle name="AggGreen 3 2 3" xfId="1293"/>
    <cellStyle name="AggGreen 3 3" xfId="737"/>
    <cellStyle name="AggGreen 3 3 2" xfId="1279"/>
    <cellStyle name="AggGreen 4" xfId="288"/>
    <cellStyle name="AggGreen 4 2" xfId="627"/>
    <cellStyle name="AggGreen 4 2 2" xfId="842"/>
    <cellStyle name="AggGreen 4 2 2 2" xfId="982"/>
    <cellStyle name="AggGreen 4 2 3" xfId="922"/>
    <cellStyle name="AggGreen 4 3" xfId="542"/>
    <cellStyle name="AggGreen 4 3 2" xfId="757"/>
    <cellStyle name="AggGreen 4 3 2 2" xfId="1008"/>
    <cellStyle name="AggGreen 4 3 3" xfId="1055"/>
    <cellStyle name="AggGreen 4 4" xfId="660"/>
    <cellStyle name="AggGreen 4 4 2" xfId="875"/>
    <cellStyle name="AggGreen 4 4 2 2" xfId="976"/>
    <cellStyle name="AggGreen 4 4 3" xfId="1213"/>
    <cellStyle name="AggGreen 4 5" xfId="1105"/>
    <cellStyle name="AggGreen 5" xfId="104"/>
    <cellStyle name="AggGreen_Bbdr" xfId="45"/>
    <cellStyle name="AggGreen12" xfId="42"/>
    <cellStyle name="AggGreen12 2" xfId="143"/>
    <cellStyle name="AggGreen12 2 2" xfId="433"/>
    <cellStyle name="AggGreen12 2 2 2" xfId="626"/>
    <cellStyle name="AggGreen12 2 2 2 2" xfId="841"/>
    <cellStyle name="AggGreen12 2 2 2 2 2" xfId="1036"/>
    <cellStyle name="AggGreen12 2 2 2 3" xfId="1013"/>
    <cellStyle name="AggGreen12 2 2 3" xfId="740"/>
    <cellStyle name="AggGreen12 2 2 3 2" xfId="1214"/>
    <cellStyle name="AggGreen12 2 3" xfId="291"/>
    <cellStyle name="AggGreen12 2 3 2" xfId="630"/>
    <cellStyle name="AggGreen12 2 3 2 2" xfId="845"/>
    <cellStyle name="AggGreen12 2 3 2 2 2" xfId="1068"/>
    <cellStyle name="AggGreen12 2 3 2 3" xfId="1304"/>
    <cellStyle name="AggGreen12 2 3 3" xfId="579"/>
    <cellStyle name="AggGreen12 2 3 3 2" xfId="794"/>
    <cellStyle name="AggGreen12 2 3 3 2 2" xfId="996"/>
    <cellStyle name="AggGreen12 2 3 3 3" xfId="1346"/>
    <cellStyle name="AggGreen12 2 3 4" xfId="659"/>
    <cellStyle name="AggGreen12 2 3 4 2" xfId="874"/>
    <cellStyle name="AggGreen12 2 3 4 2 2" xfId="1033"/>
    <cellStyle name="AggGreen12 2 3 4 3" xfId="1315"/>
    <cellStyle name="AggGreen12 2 3 5" xfId="1167"/>
    <cellStyle name="AggGreen12 3" xfId="432"/>
    <cellStyle name="AggGreen12 3 2" xfId="556"/>
    <cellStyle name="AggGreen12 3 2 2" xfId="771"/>
    <cellStyle name="AggGreen12 3 2 2 2" xfId="1005"/>
    <cellStyle name="AggGreen12 3 2 3" xfId="1245"/>
    <cellStyle name="AggGreen12 3 3" xfId="739"/>
    <cellStyle name="AggGreen12 3 3 2" xfId="1316"/>
    <cellStyle name="AggGreen12 4" xfId="290"/>
    <cellStyle name="AggGreen12 4 2" xfId="629"/>
    <cellStyle name="AggGreen12 4 2 2" xfId="844"/>
    <cellStyle name="AggGreen12 4 2 2 2" xfId="1131"/>
    <cellStyle name="AggGreen12 4 2 3" xfId="1260"/>
    <cellStyle name="AggGreen12 4 3" xfId="681"/>
    <cellStyle name="AggGreen12 4 3 2" xfId="896"/>
    <cellStyle name="AggGreen12 4 3 2 2" xfId="1354"/>
    <cellStyle name="AggGreen12 4 3 3" xfId="930"/>
    <cellStyle name="AggGreen12 4 4" xfId="692"/>
    <cellStyle name="AggGreen12 4 4 2" xfId="907"/>
    <cellStyle name="AggGreen12 4 4 2 2" xfId="1365"/>
    <cellStyle name="AggGreen12 4 4 3" xfId="1239"/>
    <cellStyle name="AggGreen12 4 5" xfId="1164"/>
    <cellStyle name="AggGreen12 5" xfId="102"/>
    <cellStyle name="AggOrange" xfId="37"/>
    <cellStyle name="AggOrange 2" xfId="144"/>
    <cellStyle name="AggOrange 2 2" xfId="435"/>
    <cellStyle name="AggOrange 2 2 2" xfId="555"/>
    <cellStyle name="AggOrange 2 2 2 2" xfId="770"/>
    <cellStyle name="AggOrange 2 2 2 2 2" xfId="937"/>
    <cellStyle name="AggOrange 2 2 2 3" xfId="1345"/>
    <cellStyle name="AggOrange 2 2 3" xfId="742"/>
    <cellStyle name="AggOrange 2 2 3 2" xfId="1270"/>
    <cellStyle name="AggOrange 2 3" xfId="293"/>
    <cellStyle name="AggOrange 2 3 2" xfId="632"/>
    <cellStyle name="AggOrange 2 3 2 2" xfId="847"/>
    <cellStyle name="AggOrange 2 3 2 2 2" xfId="1067"/>
    <cellStyle name="AggOrange 2 3 2 3" xfId="1297"/>
    <cellStyle name="AggOrange 2 3 3" xfId="539"/>
    <cellStyle name="AggOrange 2 3 3 2" xfId="754"/>
    <cellStyle name="AggOrange 2 3 3 2 2" xfId="1307"/>
    <cellStyle name="AggOrange 2 3 3 3" xfId="1200"/>
    <cellStyle name="AggOrange 2 3 4" xfId="554"/>
    <cellStyle name="AggOrange 2 3 4 2" xfId="769"/>
    <cellStyle name="AggOrange 2 3 4 2 2" xfId="939"/>
    <cellStyle name="AggOrange 2 3 4 3" xfId="1253"/>
    <cellStyle name="AggOrange 2 3 5" xfId="1165"/>
    <cellStyle name="AggOrange 3" xfId="434"/>
    <cellStyle name="AggOrange 3 2" xfId="674"/>
    <cellStyle name="AggOrange 3 2 2" xfId="889"/>
    <cellStyle name="AggOrange 3 2 2 2" xfId="1122"/>
    <cellStyle name="AggOrange 3 2 3" xfId="920"/>
    <cellStyle name="AggOrange 3 3" xfId="741"/>
    <cellStyle name="AggOrange 3 3 2" xfId="1076"/>
    <cellStyle name="AggOrange 4" xfId="292"/>
    <cellStyle name="AggOrange 4 2" xfId="631"/>
    <cellStyle name="AggOrange 4 2 2" xfId="846"/>
    <cellStyle name="AggOrange 4 2 2 2" xfId="1130"/>
    <cellStyle name="AggOrange 4 2 3" xfId="1199"/>
    <cellStyle name="AggOrange 4 3" xfId="620"/>
    <cellStyle name="AggOrange 4 3 2" xfId="835"/>
    <cellStyle name="AggOrange 4 3 2 2" xfId="1039"/>
    <cellStyle name="AggOrange 4 3 3" xfId="1325"/>
    <cellStyle name="AggOrange 4 4" xfId="594"/>
    <cellStyle name="AggOrange 4 4 2" xfId="809"/>
    <cellStyle name="AggOrange 4 4 2 2" xfId="1073"/>
    <cellStyle name="AggOrange 4 4 3" xfId="1138"/>
    <cellStyle name="AggOrange 4 5" xfId="1103"/>
    <cellStyle name="AggOrange 5" xfId="98"/>
    <cellStyle name="AggOrange_B_border" xfId="49"/>
    <cellStyle name="AggOrange9" xfId="36"/>
    <cellStyle name="AggOrange9 2" xfId="145"/>
    <cellStyle name="AggOrange9 2 2" xfId="437"/>
    <cellStyle name="AggOrange9 2 2 2" xfId="673"/>
    <cellStyle name="AggOrange9 2 2 2 2" xfId="888"/>
    <cellStyle name="AggOrange9 2 2 2 2 2" xfId="1060"/>
    <cellStyle name="AggOrange9 2 2 2 3" xfId="1011"/>
    <cellStyle name="AggOrange9 2 2 3" xfId="744"/>
    <cellStyle name="AggOrange9 2 2 3 2" xfId="1180"/>
    <cellStyle name="AggOrange9 2 3" xfId="295"/>
    <cellStyle name="AggOrange9 2 3 2" xfId="634"/>
    <cellStyle name="AggOrange9 2 3 2 2" xfId="849"/>
    <cellStyle name="AggOrange9 2 3 2 2 2" xfId="1066"/>
    <cellStyle name="AggOrange9 2 3 2 3" xfId="1322"/>
    <cellStyle name="AggOrange9 2 3 3" xfId="680"/>
    <cellStyle name="AggOrange9 2 3 3 2" xfId="895"/>
    <cellStyle name="AggOrange9 2 3 3 2 2" xfId="941"/>
    <cellStyle name="AggOrange9 2 3 3 3" xfId="923"/>
    <cellStyle name="AggOrange9 2 3 4" xfId="694"/>
    <cellStyle name="AggOrange9 2 3 4 2" xfId="909"/>
    <cellStyle name="AggOrange9 2 3 4 2 2" xfId="1367"/>
    <cellStyle name="AggOrange9 2 3 4 3" xfId="1282"/>
    <cellStyle name="AggOrange9 2 3 5" xfId="1104"/>
    <cellStyle name="AggOrange9 3" xfId="436"/>
    <cellStyle name="AggOrange9 3 2" xfId="625"/>
    <cellStyle name="AggOrange9 3 2 2" xfId="840"/>
    <cellStyle name="AggOrange9 3 2 2 2" xfId="983"/>
    <cellStyle name="AggOrange9 3 2 3" xfId="1153"/>
    <cellStyle name="AggOrange9 3 3" xfId="743"/>
    <cellStyle name="AggOrange9 3 3 2" xfId="1285"/>
    <cellStyle name="AggOrange9 4" xfId="294"/>
    <cellStyle name="AggOrange9 4 2" xfId="633"/>
    <cellStyle name="AggOrange9 4 2 2" xfId="848"/>
    <cellStyle name="AggOrange9 4 2 2 2" xfId="1129"/>
    <cellStyle name="AggOrange9 4 2 3" xfId="1192"/>
    <cellStyle name="AggOrange9 4 3" xfId="578"/>
    <cellStyle name="AggOrange9 4 3 2" xfId="793"/>
    <cellStyle name="AggOrange9 4 3 2 2" xfId="1047"/>
    <cellStyle name="AggOrange9 4 3 3" xfId="1254"/>
    <cellStyle name="AggOrange9 4 4" xfId="624"/>
    <cellStyle name="AggOrange9 4 4 2" xfId="839"/>
    <cellStyle name="AggOrange9 4 4 2 2" xfId="1037"/>
    <cellStyle name="AggOrange9 4 4 3" xfId="1176"/>
    <cellStyle name="AggOrange9 4 5" xfId="1166"/>
    <cellStyle name="AggOrange9 5" xfId="97"/>
    <cellStyle name="AggOrangeLB_2x" xfId="48"/>
    <cellStyle name="AggOrangeLBorder" xfId="50"/>
    <cellStyle name="AggOrangeLBorder 2" xfId="146"/>
    <cellStyle name="AggOrangeLBorder 2 2" xfId="439"/>
    <cellStyle name="AggOrangeLBorder 2 3" xfId="297"/>
    <cellStyle name="AggOrangeLBorder 2 3 2" xfId="636"/>
    <cellStyle name="AggOrangeLBorder 2 3 2 2" xfId="851"/>
    <cellStyle name="AggOrangeLBorder 2 3 2 2 2" xfId="1065"/>
    <cellStyle name="AggOrangeLBorder 2 3 2 3" xfId="1084"/>
    <cellStyle name="AggOrangeLBorder 2 3 3" xfId="576"/>
    <cellStyle name="AggOrangeLBorder 2 3 3 2" xfId="791"/>
    <cellStyle name="AggOrangeLBorder 2 3 3 2 2" xfId="1048"/>
    <cellStyle name="AggOrangeLBorder 2 3 3 3" xfId="1054"/>
    <cellStyle name="AggOrangeLBorder 2 3 4" xfId="602"/>
    <cellStyle name="AggOrangeLBorder 2 3 4 2" xfId="817"/>
    <cellStyle name="AggOrangeLBorder 2 3 4 2 2" xfId="1027"/>
    <cellStyle name="AggOrangeLBorder 2 3 4 3" xfId="969"/>
    <cellStyle name="AggOrangeLBorder 2 3 5" xfId="722"/>
    <cellStyle name="AggOrangeLBorder 2 3 6" xfId="1092"/>
    <cellStyle name="AggOrangeLBorder 3" xfId="438"/>
    <cellStyle name="AggOrangeLBorder 4" xfId="296"/>
    <cellStyle name="AggOrangeLBorder 4 2" xfId="635"/>
    <cellStyle name="AggOrangeLBorder 4 2 2" xfId="850"/>
    <cellStyle name="AggOrangeLBorder 4 2 2 2" xfId="1128"/>
    <cellStyle name="AggOrangeLBorder 4 2 3" xfId="1221"/>
    <cellStyle name="AggOrangeLBorder 4 3" xfId="577"/>
    <cellStyle name="AggOrangeLBorder 4 3 2" xfId="792"/>
    <cellStyle name="AggOrangeLBorder 4 3 2 2" xfId="997"/>
    <cellStyle name="AggOrangeLBorder 4 3 3" xfId="1020"/>
    <cellStyle name="AggOrangeLBorder 4 4" xfId="598"/>
    <cellStyle name="AggOrangeLBorder 4 4 2" xfId="813"/>
    <cellStyle name="AggOrangeLBorder 4 4 2 2" xfId="1071"/>
    <cellStyle name="AggOrangeLBorder 4 4 3" xfId="1016"/>
    <cellStyle name="AggOrangeLBorder 4 5" xfId="721"/>
    <cellStyle name="AggOrangeLBorder 4 6" xfId="1097"/>
    <cellStyle name="AggOrangeLBorder 5" xfId="105"/>
    <cellStyle name="AggOrangeRBorder" xfId="39"/>
    <cellStyle name="AggOrangeRBorder 2" xfId="147"/>
    <cellStyle name="AggOrangeRBorder 2 2" xfId="441"/>
    <cellStyle name="AggOrangeRBorder 2 2 2" xfId="553"/>
    <cellStyle name="AggOrangeRBorder 2 2 2 2" xfId="768"/>
    <cellStyle name="AggOrangeRBorder 2 2 2 2 2" xfId="940"/>
    <cellStyle name="AggOrangeRBorder 2 2 2 3" xfId="1353"/>
    <cellStyle name="AggOrangeRBorder 2 3" xfId="299"/>
    <cellStyle name="AggOrangeRBorder 2 3 2" xfId="638"/>
    <cellStyle name="AggOrangeRBorder 2 3 2 2" xfId="853"/>
    <cellStyle name="AggOrangeRBorder 2 3 2 2 2" xfId="1064"/>
    <cellStyle name="AggOrangeRBorder 2 3 2 3" xfId="1261"/>
    <cellStyle name="AggOrangeRBorder 2 3 3" xfId="614"/>
    <cellStyle name="AggOrangeRBorder 2 3 3 2" xfId="829"/>
    <cellStyle name="AggOrangeRBorder 2 3 3 2 2" xfId="988"/>
    <cellStyle name="AggOrangeRBorder 2 3 3 3" xfId="1152"/>
    <cellStyle name="AggOrangeRBorder 2 3 4" xfId="596"/>
    <cellStyle name="AggOrangeRBorder 2 3 4 2" xfId="811"/>
    <cellStyle name="AggOrangeRBorder 2 3 4 2 2" xfId="1072"/>
    <cellStyle name="AggOrangeRBorder 2 3 4 3" xfId="1018"/>
    <cellStyle name="AggOrangeRBorder 2 3 5" xfId="724"/>
    <cellStyle name="AggOrangeRBorder 2 3 6" xfId="1163"/>
    <cellStyle name="AggOrangeRBorder 3" xfId="440"/>
    <cellStyle name="AggOrangeRBorder 3 2" xfId="66"/>
    <cellStyle name="AggOrangeRBorder 3 2 2" xfId="672"/>
    <cellStyle name="AggOrangeRBorder 3 2 2 2" xfId="1149"/>
    <cellStyle name="AggOrangeRBorder 3 2 3" xfId="887"/>
    <cellStyle name="AggOrangeRBorder 3 2 3 2" xfId="1123"/>
    <cellStyle name="AggOrangeRBorder 4" xfId="298"/>
    <cellStyle name="AggOrangeRBorder 4 2" xfId="637"/>
    <cellStyle name="AggOrangeRBorder 4 2 2" xfId="852"/>
    <cellStyle name="AggOrangeRBorder 4 2 2 2" xfId="1127"/>
    <cellStyle name="AggOrangeRBorder 4 2 3" xfId="1150"/>
    <cellStyle name="AggOrangeRBorder 4 3" xfId="670"/>
    <cellStyle name="AggOrangeRBorder 4 3 2" xfId="885"/>
    <cellStyle name="AggOrangeRBorder 4 3 2 2" xfId="1124"/>
    <cellStyle name="AggOrangeRBorder 4 3 3" xfId="1339"/>
    <cellStyle name="AggOrangeRBorder 4 4" xfId="691"/>
    <cellStyle name="AggOrangeRBorder 4 4 2" xfId="906"/>
    <cellStyle name="AggOrangeRBorder 4 4 2 2" xfId="1364"/>
    <cellStyle name="AggOrangeRBorder 4 4 3" xfId="1340"/>
    <cellStyle name="AggOrangeRBorder 4 5" xfId="723"/>
    <cellStyle name="AggOrangeRBorder 4 6" xfId="1157"/>
    <cellStyle name="AggOrangeRBorder 5" xfId="100"/>
    <cellStyle name="AggOrangeRBorder_CRFReport-template" xfId="51"/>
    <cellStyle name="Akzent1" xfId="148"/>
    <cellStyle name="Akzent2" xfId="149"/>
    <cellStyle name="Akzent3" xfId="150"/>
    <cellStyle name="Akzent4" xfId="151"/>
    <cellStyle name="Akzent5" xfId="152"/>
    <cellStyle name="Akzent6" xfId="153"/>
    <cellStyle name="Ausgabe" xfId="71" hidden="1"/>
    <cellStyle name="Ausgabe" xfId="944" hidden="1"/>
    <cellStyle name="Ausgabe" xfId="925" hidden="1"/>
    <cellStyle name="Ausgabe 2" xfId="419"/>
    <cellStyle name="Ausgabe 2 2" xfId="675"/>
    <cellStyle name="Ausgabe 2 2 2" xfId="890"/>
    <cellStyle name="Ausgabe 2 2 2 2" xfId="1059"/>
    <cellStyle name="Ausgabe 2 2 3" xfId="935"/>
    <cellStyle name="Ausgabe 2 3" xfId="560"/>
    <cellStyle name="Ausgabe 2 3 2" xfId="775"/>
    <cellStyle name="Ausgabe 2 3 2 2" xfId="1118"/>
    <cellStyle name="Ausgabe 2 3 3" xfId="1299"/>
    <cellStyle name="Ausgabe 2 4" xfId="733"/>
    <cellStyle name="Ausgabe 2 4 2" xfId="928"/>
    <cellStyle name="Ausgabe 2 5" xfId="1056"/>
    <cellStyle name="Ausgabe 3" xfId="310"/>
    <cellStyle name="Ausgabe 3 2" xfId="647"/>
    <cellStyle name="Ausgabe 3 2 2" xfId="862"/>
    <cellStyle name="Ausgabe 3 2 2 2" xfId="1269"/>
    <cellStyle name="Ausgabe 3 2 3" xfId="1012"/>
    <cellStyle name="Ausgabe 3 3" xfId="566"/>
    <cellStyle name="Ausgabe 3 3 2" xfId="781"/>
    <cellStyle name="Ausgabe 3 3 2 2" xfId="1116"/>
    <cellStyle name="Ausgabe 3 3 3" xfId="1088"/>
    <cellStyle name="Ausgabe 3 4" xfId="730"/>
    <cellStyle name="Ausgabe 3 4 2" xfId="1009"/>
    <cellStyle name="Ausgabe 3 5" xfId="1159"/>
    <cellStyle name="Ausgabe 4" xfId="571"/>
    <cellStyle name="Ausgabe 4 2" xfId="786"/>
    <cellStyle name="Ausgabe 4 2 2" xfId="999"/>
    <cellStyle name="Ausgabe 4 3" xfId="1174"/>
    <cellStyle name="Ausgabe 5" xfId="690"/>
    <cellStyle name="Ausgabe 5 2" xfId="905"/>
    <cellStyle name="Ausgabe 5 2 2" xfId="1363"/>
    <cellStyle name="Ausgabe 5 3" xfId="1273"/>
    <cellStyle name="Ausgabe 6" xfId="706"/>
    <cellStyle name="Ausgabe 6 2" xfId="921"/>
    <cellStyle name="Bad 2" xfId="154"/>
    <cellStyle name="Bad 3" xfId="251"/>
    <cellStyle name="Bad 4" xfId="391"/>
    <cellStyle name="Berechnung" xfId="72" hidden="1"/>
    <cellStyle name="Berechnung" xfId="945" hidden="1"/>
    <cellStyle name="Berechnung" xfId="1026" hidden="1"/>
    <cellStyle name="Berechnung 2" xfId="420"/>
    <cellStyle name="Berechnung 2 2" xfId="676"/>
    <cellStyle name="Berechnung 2 2 2" xfId="891"/>
    <cellStyle name="Berechnung 2 2 2 2" xfId="1121"/>
    <cellStyle name="Berechnung 2 2 3" xfId="932"/>
    <cellStyle name="Berechnung 2 3" xfId="541"/>
    <cellStyle name="Berechnung 2 3 2" xfId="756"/>
    <cellStyle name="Berechnung 2 3 2 2" xfId="1143"/>
    <cellStyle name="Berechnung 2 3 3" xfId="1206"/>
    <cellStyle name="Berechnung 2 4" xfId="597"/>
    <cellStyle name="Berechnung 2 4 2" xfId="812"/>
    <cellStyle name="Berechnung 2 4 2 2" xfId="1134"/>
    <cellStyle name="Berechnung 2 4 3" xfId="1017"/>
    <cellStyle name="Berechnung 2 5" xfId="734"/>
    <cellStyle name="Berechnung 2 5 2" xfId="971"/>
    <cellStyle name="Berechnung 2 6" xfId="1023"/>
    <cellStyle name="Berechnung 3" xfId="300"/>
    <cellStyle name="Berechnung 3 2" xfId="639"/>
    <cellStyle name="Berechnung 3 2 2" xfId="854"/>
    <cellStyle name="Berechnung 3 2 2 2" xfId="1126"/>
    <cellStyle name="Berechnung 3 2 3" xfId="1305"/>
    <cellStyle name="Berechnung 3 3" xfId="575"/>
    <cellStyle name="Berechnung 3 3 2" xfId="790"/>
    <cellStyle name="Berechnung 3 3 2 2" xfId="1113"/>
    <cellStyle name="Berechnung 3 3 3" xfId="1119"/>
    <cellStyle name="Berechnung 3 4" xfId="587"/>
    <cellStyle name="Berechnung 3 4 2" xfId="802"/>
    <cellStyle name="Berechnung 3 4 2 2" xfId="992"/>
    <cellStyle name="Berechnung 3 4 3" xfId="1226"/>
    <cellStyle name="Berechnung 3 5" xfId="725"/>
    <cellStyle name="Berechnung 3 5 2" xfId="1079"/>
    <cellStyle name="Berechnung 3 6" xfId="1155"/>
    <cellStyle name="Berechnung 4" xfId="572"/>
    <cellStyle name="Berechnung 4 2" xfId="787"/>
    <cellStyle name="Berechnung 4 2 2" xfId="1114"/>
    <cellStyle name="Berechnung 4 3" xfId="1342"/>
    <cellStyle name="Berechnung 5" xfId="689"/>
    <cellStyle name="Berechnung 5 2" xfId="904"/>
    <cellStyle name="Berechnung 5 2 2" xfId="1362"/>
    <cellStyle name="Berechnung 5 3" xfId="1080"/>
    <cellStyle name="Berechnung 6" xfId="701"/>
    <cellStyle name="Berechnung 6 2" xfId="915"/>
    <cellStyle name="Berechnung 6 2 2" xfId="1373"/>
    <cellStyle name="Berechnung 6 3" xfId="1274"/>
    <cellStyle name="Berechnung 7" xfId="707"/>
    <cellStyle name="Berechnung 7 2" xfId="970"/>
    <cellStyle name="Bold GHG Numbers (0.00)" xfId="155"/>
    <cellStyle name="Calculation 2" xfId="156"/>
    <cellStyle name="Calculation 2 2" xfId="574"/>
    <cellStyle name="Calculation 2 2 2" xfId="789"/>
    <cellStyle name="Calculation 2 2 2 2" xfId="998"/>
    <cellStyle name="Calculation 2 2 3" xfId="1139"/>
    <cellStyle name="Calculation 2 3" xfId="658"/>
    <cellStyle name="Calculation 2 3 2" xfId="873"/>
    <cellStyle name="Calculation 2 3 2 2" xfId="977"/>
    <cellStyle name="Calculation 2 3 3" xfId="1275"/>
    <cellStyle name="Calculation 2 4" xfId="564"/>
    <cellStyle name="Calculation 2 4 2" xfId="779"/>
    <cellStyle name="Calculation 2 4 2 2" xfId="1052"/>
    <cellStyle name="Calculation 2 4 3" xfId="1326"/>
    <cellStyle name="Calculation 2 5" xfId="708"/>
    <cellStyle name="Calculation 2 5 2" xfId="1348"/>
    <cellStyle name="Calculation 2 6" xfId="1204"/>
    <cellStyle name="Calculation 3" xfId="252"/>
    <cellStyle name="Calculation 3 2" xfId="613"/>
    <cellStyle name="Calculation 3 2 2" xfId="828"/>
    <cellStyle name="Calculation 3 2 2 2" xfId="989"/>
    <cellStyle name="Calculation 3 2 3" xfId="943"/>
    <cellStyle name="Calculation 3 3" xfId="599"/>
    <cellStyle name="Calculation 3 3 2" xfId="814"/>
    <cellStyle name="Calculation 3 3 2 2" xfId="1133"/>
    <cellStyle name="Calculation 3 3 3" xfId="1015"/>
    <cellStyle name="Calculation 3 4" xfId="683"/>
    <cellStyle name="Calculation 3 4 2" xfId="898"/>
    <cellStyle name="Calculation 3 4 2 2" xfId="1356"/>
    <cellStyle name="Calculation 3 4 3" xfId="1301"/>
    <cellStyle name="Calculation 3 5" xfId="716"/>
    <cellStyle name="Calculation 3 5 2" xfId="1284"/>
    <cellStyle name="Calculation 3 6" xfId="1106"/>
    <cellStyle name="Check Cell 2" xfId="157"/>
    <cellStyle name="Check Cell 3" xfId="253"/>
    <cellStyle name="Check Cell 4" xfId="397"/>
    <cellStyle name="Comma 2" xfId="158"/>
    <cellStyle name="Comma 2 2" xfId="159"/>
    <cellStyle name="Comma 2 2 2" xfId="442"/>
    <cellStyle name="Comma 3" xfId="160"/>
    <cellStyle name="Constants" xfId="24"/>
    <cellStyle name="ContentsHyperlink" xfId="269"/>
    <cellStyle name="CustomCellsOrange" xfId="161"/>
    <cellStyle name="CustomCellsOrange 2" xfId="443"/>
    <cellStyle name="CustomCellsOrange 2 2" xfId="466"/>
    <cellStyle name="CustomCellsOrange 2 2 2" xfId="536"/>
    <cellStyle name="CustomCellsOrange 2 2 2 2" xfId="702"/>
    <cellStyle name="CustomCellsOrange 2 2 2 2 2" xfId="916"/>
    <cellStyle name="CustomCellsOrange 2 2 2 2 2 2" xfId="1374"/>
    <cellStyle name="CustomCellsOrange 2 2 2 2 3" xfId="1283"/>
    <cellStyle name="CustomCellsOrange 2 2 3" xfId="685"/>
    <cellStyle name="CustomCellsOrange 2 2 3 2" xfId="900"/>
    <cellStyle name="CustomCellsOrange 2 2 3 2 2" xfId="1358"/>
    <cellStyle name="CustomCellsOrange 2 2 3 3" xfId="1312"/>
    <cellStyle name="CustomCellsOrange 2 2 4" xfId="603"/>
    <cellStyle name="CustomCellsOrange 2 2 4 2" xfId="818"/>
    <cellStyle name="CustomCellsOrange 2 2 4 2 2" xfId="1266"/>
    <cellStyle name="CustomCellsOrange 2 2 4 3" xfId="1262"/>
    <cellStyle name="CustomCellsOrange 2 2 5" xfId="704"/>
    <cellStyle name="CustomCellsOrange 2 2 5 2" xfId="918"/>
    <cellStyle name="CustomCellsOrange 2 2 5 2 2" xfId="1376"/>
    <cellStyle name="CustomCellsOrange 2 2 5 3" xfId="1147"/>
    <cellStyle name="CustomCellsOrange 2 2 6" xfId="1184"/>
    <cellStyle name="CustomCellsOrange 3" xfId="301"/>
    <cellStyle name="CustomCellsOrange 3 2" xfId="640"/>
    <cellStyle name="CustomCellsOrange 3 2 2" xfId="855"/>
    <cellStyle name="CustomCellsOrange 3 2 2 2" xfId="1288"/>
    <cellStyle name="CustomCellsOrange 3 2 3" xfId="1201"/>
    <cellStyle name="CustomCellsOrange 3 3" xfId="573"/>
    <cellStyle name="CustomCellsOrange 3 3 2" xfId="788"/>
    <cellStyle name="CustomCellsOrange 3 3 2 2" xfId="1049"/>
    <cellStyle name="CustomCellsOrange 3 3 3" xfId="1241"/>
    <cellStyle name="CustomCellsOrange 3 4" xfId="586"/>
    <cellStyle name="CustomCellsOrange 3 4 2" xfId="801"/>
    <cellStyle name="CustomCellsOrange 3 4 2 2" xfId="1043"/>
    <cellStyle name="CustomCellsOrange 3 4 3" xfId="1327"/>
    <cellStyle name="CustomCellsOrange 3 5" xfId="726"/>
    <cellStyle name="CustomCellsOrange 3 6" xfId="1162"/>
    <cellStyle name="CustomizationCells" xfId="38"/>
    <cellStyle name="CustomizationCells 2" xfId="444"/>
    <cellStyle name="CustomizationCells 2 2" xfId="467"/>
    <cellStyle name="CustomizationCells 2 2 2" xfId="537"/>
    <cellStyle name="CustomizationCells 2 2 2 2" xfId="703"/>
    <cellStyle name="CustomizationCells 2 2 2 2 2" xfId="917"/>
    <cellStyle name="CustomizationCells 2 2 2 2 2 2" xfId="1375"/>
    <cellStyle name="CustomizationCells 2 2 2 2 3" xfId="1178"/>
    <cellStyle name="CustomizationCells 2 2 3" xfId="686"/>
    <cellStyle name="CustomizationCells 2 2 3 2" xfId="901"/>
    <cellStyle name="CustomizationCells 2 2 3 2 2" xfId="1359"/>
    <cellStyle name="CustomizationCells 2 2 3 3" xfId="1210"/>
    <cellStyle name="CustomizationCells 2 2 4" xfId="549"/>
    <cellStyle name="CustomizationCells 2 2 4 2" xfId="764"/>
    <cellStyle name="CustomizationCells 2 2 4 2 2" xfId="1109"/>
    <cellStyle name="CustomizationCells 2 2 4 3" xfId="1189"/>
    <cellStyle name="CustomizationCells 2 2 5" xfId="705"/>
    <cellStyle name="CustomizationCells 2 2 5 2" xfId="919"/>
    <cellStyle name="CustomizationCells 2 2 5 3" xfId="1010"/>
    <cellStyle name="CustomizationCells 2 2 6" xfId="1337"/>
    <cellStyle name="CustomizationCells 3" xfId="302"/>
    <cellStyle name="CustomizationCells 3 2" xfId="641"/>
    <cellStyle name="CustomizationCells 3 2 2" xfId="856"/>
    <cellStyle name="CustomizationCells 3 2 2 2" xfId="1183"/>
    <cellStyle name="CustomizationCells 3 2 3" xfId="1296"/>
    <cellStyle name="CustomizationCells 3 3" xfId="668"/>
    <cellStyle name="CustomizationCells 3 3 2" xfId="883"/>
    <cellStyle name="CustomizationCells 3 3 2 2" xfId="1125"/>
    <cellStyle name="CustomizationCells 3 3 3" xfId="1083"/>
    <cellStyle name="CustomizationCells 3 4" xfId="588"/>
    <cellStyle name="CustomizationCells 3 4 2" xfId="803"/>
    <cellStyle name="CustomizationCells 3 4 2 2" xfId="1042"/>
    <cellStyle name="CustomizationCells 3 4 3" xfId="1090"/>
    <cellStyle name="CustomizationCells 3 5" xfId="727"/>
    <cellStyle name="CustomizationCells 3 6" xfId="1099"/>
    <cellStyle name="CustomizationCells 4" xfId="99"/>
    <cellStyle name="CustomizationGreenCells" xfId="162"/>
    <cellStyle name="CustomizationGreenCells 2" xfId="445"/>
    <cellStyle name="CustomizationGreenCells 3" xfId="303"/>
    <cellStyle name="CustomizationGreenCells 3 2" xfId="642"/>
    <cellStyle name="CustomizationGreenCells 3 2 2" xfId="857"/>
    <cellStyle name="CustomizationGreenCells 3 2 2 2" xfId="1334"/>
    <cellStyle name="CustomizationGreenCells 3 2 3" xfId="1191"/>
    <cellStyle name="CustomizationGreenCells 3 3" xfId="612"/>
    <cellStyle name="CustomizationGreenCells 3 3 2" xfId="827"/>
    <cellStyle name="CustomizationGreenCells 3 3 2 2" xfId="990"/>
    <cellStyle name="CustomizationGreenCells 3 3 3" xfId="1237"/>
    <cellStyle name="CustomizationGreenCells 3 4" xfId="545"/>
    <cellStyle name="CustomizationGreenCells 3 4 2" xfId="760"/>
    <cellStyle name="CustomizationGreenCells 3 4 2 2" xfId="1110"/>
    <cellStyle name="CustomizationGreenCells 3 4 3" xfId="1185"/>
    <cellStyle name="CustomizationGreenCells 3 5" xfId="728"/>
    <cellStyle name="CustomizationGreenCells 3 6" xfId="1161"/>
    <cellStyle name="Dobry 2" xfId="15"/>
    <cellStyle name="DocBox_EmptyRow" xfId="35"/>
    <cellStyle name="Dziesiętny" xfId="1" builtinId="3"/>
    <cellStyle name="Dziesiętny 2" xfId="2"/>
    <cellStyle name="Dziesiętny 2 2" xfId="3"/>
    <cellStyle name="Dziesiętny 2 2 2" xfId="13"/>
    <cellStyle name="Dziesiętny 2 2 3" xfId="18"/>
    <cellStyle name="Dziesiętny 2 3" xfId="12"/>
    <cellStyle name="Dziesiętny 2 4" xfId="17"/>
    <cellStyle name="Dziesiętny 3" xfId="4"/>
    <cellStyle name="Dziesiętny 3 2" xfId="14"/>
    <cellStyle name="Dziesiętny 3 3" xfId="19"/>
    <cellStyle name="Dziesiętny 4" xfId="11"/>
    <cellStyle name="Dziesiętny 5" xfId="16"/>
    <cellStyle name="Eingabe" xfId="22"/>
    <cellStyle name="Eingabe 2" xfId="400"/>
    <cellStyle name="Eingabe 3" xfId="446"/>
    <cellStyle name="Eingabe 3 2" xfId="682"/>
    <cellStyle name="Eingabe 3 2 2" xfId="897"/>
    <cellStyle name="Eingabe 3 2 2 2" xfId="1355"/>
    <cellStyle name="Eingabe 3 2 3" xfId="968"/>
    <cellStyle name="Eingabe 3 3" xfId="671"/>
    <cellStyle name="Eingabe 3 3 2" xfId="886"/>
    <cellStyle name="Eingabe 3 3 2 2" xfId="1061"/>
    <cellStyle name="Eingabe 3 3 3" xfId="1238"/>
    <cellStyle name="Eingabe 3 4" xfId="562"/>
    <cellStyle name="Eingabe 3 4 2" xfId="777"/>
    <cellStyle name="Eingabe 3 4 2 2" xfId="1002"/>
    <cellStyle name="Eingabe 3 4 3" xfId="1295"/>
    <cellStyle name="Eingabe 3 5" xfId="745"/>
    <cellStyle name="Eingabe 3 5 2" xfId="1142"/>
    <cellStyle name="Eingabe 3 6" xfId="68"/>
    <cellStyle name="Eingabe 4" xfId="305"/>
    <cellStyle name="Eingabe 4 2" xfId="643"/>
    <cellStyle name="Eingabe 4 2 2" xfId="858"/>
    <cellStyle name="Eingabe 4 2 2 2" xfId="1234"/>
    <cellStyle name="Eingabe 4 2 3" xfId="1323"/>
    <cellStyle name="Eingabe 4 3" xfId="570"/>
    <cellStyle name="Eingabe 4 3 2" xfId="785"/>
    <cellStyle name="Eingabe 4 3 2 2" xfId="1050"/>
    <cellStyle name="Eingabe 4 3 3" xfId="1278"/>
    <cellStyle name="Eingabe 4 4" xfId="546"/>
    <cellStyle name="Eingabe 4 4 2" xfId="761"/>
    <cellStyle name="Eingabe 4 4 2 2" xfId="1029"/>
    <cellStyle name="Eingabe 4 4 3" xfId="1329"/>
    <cellStyle name="Eingabe 4 5" xfId="729"/>
    <cellStyle name="Eingabe 4 5 2" xfId="1145"/>
    <cellStyle name="Eingabe 4 6" xfId="1102"/>
    <cellStyle name="Eingabe 5" xfId="580"/>
    <cellStyle name="Eingabe 5 2" xfId="795"/>
    <cellStyle name="Eingabe 5 2 2" xfId="1046"/>
    <cellStyle name="Eingabe 5 3" xfId="1246"/>
    <cellStyle name="Eingabe 6" xfId="657"/>
    <cellStyle name="Eingabe 6 2" xfId="872"/>
    <cellStyle name="Eingabe 6 2 2" xfId="1034"/>
    <cellStyle name="Eingabe 6 3" xfId="1082"/>
    <cellStyle name="Eingabe 7" xfId="700"/>
    <cellStyle name="Eingabe 7 2" xfId="914"/>
    <cellStyle name="Eingabe 7 2 2" xfId="1372"/>
    <cellStyle name="Eingabe 7 3" xfId="1081"/>
    <cellStyle name="Eingabe 8" xfId="709"/>
    <cellStyle name="Eingabe 8 2" xfId="1248"/>
    <cellStyle name="Empty_B_border" xfId="41"/>
    <cellStyle name="Ergebnis" xfId="77" hidden="1"/>
    <cellStyle name="Ergebnis" xfId="948" hidden="1"/>
    <cellStyle name="Ergebnis" xfId="1280" hidden="1"/>
    <cellStyle name="Ergebnis 2" xfId="421"/>
    <cellStyle name="Ergebnis 2 2" xfId="677"/>
    <cellStyle name="Ergebnis 2 2 2" xfId="892"/>
    <cellStyle name="Ergebnis 2 2 2 2" xfId="1058"/>
    <cellStyle name="Ergebnis 2 2 3" xfId="933"/>
    <cellStyle name="Ergebnis 2 3" xfId="609"/>
    <cellStyle name="Ergebnis 2 3 2" xfId="824"/>
    <cellStyle name="Ergebnis 2 3 2 2" xfId="1233"/>
    <cellStyle name="Ergebnis 2 3 3" xfId="1223"/>
    <cellStyle name="Ergebnis 2 4" xfId="600"/>
    <cellStyle name="Ergebnis 2 4 2" xfId="815"/>
    <cellStyle name="Ergebnis 2 4 2 2" xfId="1070"/>
    <cellStyle name="Ergebnis 2 4 3" xfId="1014"/>
    <cellStyle name="Ergebnis 2 5" xfId="735"/>
    <cellStyle name="Ergebnis 2 5 2" xfId="1331"/>
    <cellStyle name="Ergebnis 2 6" xfId="1089"/>
    <cellStyle name="Ergebnis 3" xfId="314"/>
    <cellStyle name="Ergebnis 3 2" xfId="651"/>
    <cellStyle name="Ergebnis 3 2 2" xfId="866"/>
    <cellStyle name="Ergebnis 3 2 2 2" xfId="981"/>
    <cellStyle name="Ergebnis 3 2 3" xfId="1314"/>
    <cellStyle name="Ergebnis 3 3" xfId="565"/>
    <cellStyle name="Ergebnis 3 3 2" xfId="780"/>
    <cellStyle name="Ergebnis 3 3 2 2" xfId="1001"/>
    <cellStyle name="Ergebnis 3 3 3" xfId="1225"/>
    <cellStyle name="Ergebnis 3 4" xfId="592"/>
    <cellStyle name="Ergebnis 3 4 2" xfId="807"/>
    <cellStyle name="Ergebnis 3 4 2 2" xfId="1074"/>
    <cellStyle name="Ergebnis 3 4 3" xfId="1341"/>
    <cellStyle name="Ergebnis 3 5" xfId="731"/>
    <cellStyle name="Ergebnis 3 5 2" xfId="924"/>
    <cellStyle name="Ergebnis 3 6" xfId="1093"/>
    <cellStyle name="Ergebnis 4" xfId="581"/>
    <cellStyle name="Ergebnis 4 2" xfId="796"/>
    <cellStyle name="Ergebnis 4 2 2" xfId="995"/>
    <cellStyle name="Ergebnis 4 3" xfId="1292"/>
    <cellStyle name="Ergebnis 5" xfId="655"/>
    <cellStyle name="Ergebnis 5 2" xfId="870"/>
    <cellStyle name="Ergebnis 5 2 2" xfId="1035"/>
    <cellStyle name="Ergebnis 5 3" xfId="1320"/>
    <cellStyle name="Ergebnis 6" xfId="662"/>
    <cellStyle name="Ergebnis 6 2" xfId="877"/>
    <cellStyle name="Ergebnis 6 2 2" xfId="975"/>
    <cellStyle name="Ergebnis 6 3" xfId="1350"/>
    <cellStyle name="Ergebnis 7" xfId="710"/>
    <cellStyle name="Ergebnis 7 2" xfId="1344"/>
    <cellStyle name="Erklärender Text" xfId="76" hidden="1"/>
    <cellStyle name="Erklärender Text" xfId="947" hidden="1"/>
    <cellStyle name="Erklärender Text" xfId="1231" hidden="1"/>
    <cellStyle name="Erklärender Text 2" xfId="422"/>
    <cellStyle name="Erklärender Text 3" xfId="304"/>
    <cellStyle name="Explanatory Text 2" xfId="163"/>
    <cellStyle name="Explanatory Text 3" xfId="254"/>
    <cellStyle name="Good 2" xfId="164"/>
    <cellStyle name="Good 3" xfId="255"/>
    <cellStyle name="Good 4" xfId="384"/>
    <cellStyle name="Gut" xfId="165"/>
    <cellStyle name="Heading 1 2" xfId="166"/>
    <cellStyle name="Heading 1 3" xfId="256"/>
    <cellStyle name="Heading 1 4" xfId="392"/>
    <cellStyle name="Heading 2 2" xfId="167"/>
    <cellStyle name="Heading 2 3" xfId="257"/>
    <cellStyle name="Heading 2 4" xfId="393"/>
    <cellStyle name="Heading 3 2" xfId="168"/>
    <cellStyle name="Heading 3 3" xfId="258"/>
    <cellStyle name="Heading 3 4" xfId="394"/>
    <cellStyle name="Heading 4 2" xfId="169"/>
    <cellStyle name="Heading 4 3" xfId="259"/>
    <cellStyle name="Heading 4 4" xfId="395"/>
    <cellStyle name="Headline" xfId="23"/>
    <cellStyle name="Hyperlink 2" xfId="64"/>
    <cellStyle name="Input 2" xfId="170"/>
    <cellStyle name="Input 2 2" xfId="584"/>
    <cellStyle name="Input 2 2 2" xfId="799"/>
    <cellStyle name="Input 2 2 2 2" xfId="1044"/>
    <cellStyle name="Input 2 2 3" xfId="1291"/>
    <cellStyle name="Input 2 3" xfId="688"/>
    <cellStyle name="Input 2 3 2" xfId="903"/>
    <cellStyle name="Input 2 3 2 2" xfId="1361"/>
    <cellStyle name="Input 2 3 3" xfId="1217"/>
    <cellStyle name="Input 2 4" xfId="699"/>
    <cellStyle name="Input 2 4 2" xfId="913"/>
    <cellStyle name="Input 2 4 2 2" xfId="1371"/>
    <cellStyle name="Input 2 4 3" xfId="1218"/>
    <cellStyle name="Input 2 5" xfId="711"/>
    <cellStyle name="Input 2 5 2" xfId="1243"/>
    <cellStyle name="Input 2 6" xfId="1289"/>
    <cellStyle name="Input 3" xfId="260"/>
    <cellStyle name="Input 3 2" xfId="616"/>
    <cellStyle name="Input 3 2 2" xfId="831"/>
    <cellStyle name="Input 3 2 2 2" xfId="1041"/>
    <cellStyle name="Input 3 2 3" xfId="1302"/>
    <cellStyle name="Input 3 3" xfId="615"/>
    <cellStyle name="Input 3 3 2" xfId="830"/>
    <cellStyle name="Input 3 3 2 2" xfId="67"/>
    <cellStyle name="Input 3 3 3" xfId="1263"/>
    <cellStyle name="Input 3 4" xfId="559"/>
    <cellStyle name="Input 3 4 2" xfId="774"/>
    <cellStyle name="Input 3 4 2 2" xfId="1003"/>
    <cellStyle name="Input 3 4 3" xfId="1264"/>
    <cellStyle name="Input 3 5" xfId="717"/>
    <cellStyle name="Input 3 5 2" xfId="1179"/>
    <cellStyle name="Input 3 6" xfId="1170"/>
    <cellStyle name="Input 4" xfId="371"/>
    <cellStyle name="InputCells" xfId="31"/>
    <cellStyle name="InputCells 2" xfId="171"/>
    <cellStyle name="InputCells 3" xfId="222"/>
    <cellStyle name="InputCells 4" xfId="374"/>
    <cellStyle name="InputCells_Bborder_1" xfId="172"/>
    <cellStyle name="InputCells12" xfId="40"/>
    <cellStyle name="InputCells12 2" xfId="173"/>
    <cellStyle name="InputCells12 2 2" xfId="448"/>
    <cellStyle name="InputCells12 2 2 2" xfId="622"/>
    <cellStyle name="InputCells12 2 2 2 2" xfId="837"/>
    <cellStyle name="InputCells12 2 2 2 2 2" xfId="1038"/>
    <cellStyle name="InputCells12 2 2 2 3" xfId="1087"/>
    <cellStyle name="InputCells12 2 2 3" xfId="747"/>
    <cellStyle name="InputCells12 2 2 3 2" xfId="1249"/>
    <cellStyle name="InputCells12 2 3" xfId="307"/>
    <cellStyle name="InputCells12 2 3 2" xfId="645"/>
    <cellStyle name="InputCells12 2 3 2 2" xfId="860"/>
    <cellStyle name="InputCells12 2 3 2 2 2" xfId="1232"/>
    <cellStyle name="InputCells12 2 3 2 3" xfId="1085"/>
    <cellStyle name="InputCells12 2 3 3" xfId="568"/>
    <cellStyle name="InputCells12 2 3 3 2" xfId="783"/>
    <cellStyle name="InputCells12 2 3 3 2 2" xfId="1000"/>
    <cellStyle name="InputCells12 2 3 3 3" xfId="1303"/>
    <cellStyle name="InputCells12 2 3 4" xfId="684"/>
    <cellStyle name="InputCells12 2 3 4 2" xfId="899"/>
    <cellStyle name="InputCells12 2 3 4 2 2" xfId="1357"/>
    <cellStyle name="InputCells12 2 3 4 3" xfId="1196"/>
    <cellStyle name="InputCells12 2 3 5" xfId="1158"/>
    <cellStyle name="InputCells12 3" xfId="447"/>
    <cellStyle name="InputCells12 3 2" xfId="552"/>
    <cellStyle name="InputCells12 3 2 2" xfId="767"/>
    <cellStyle name="InputCells12 3 2 2 2" xfId="75"/>
    <cellStyle name="InputCells12 3 2 3" xfId="1255"/>
    <cellStyle name="InputCells12 3 3" xfId="746"/>
    <cellStyle name="InputCells12 3 3 2" xfId="1349"/>
    <cellStyle name="InputCells12 4" xfId="306"/>
    <cellStyle name="InputCells12 4 2" xfId="644"/>
    <cellStyle name="InputCells12 4 2 2" xfId="859"/>
    <cellStyle name="InputCells12 4 2 2 2" xfId="1332"/>
    <cellStyle name="InputCells12 4 2 3" xfId="1222"/>
    <cellStyle name="InputCells12 4 3" xfId="569"/>
    <cellStyle name="InputCells12 4 3 2" xfId="784"/>
    <cellStyle name="InputCells12 4 3 2 2" xfId="1115"/>
    <cellStyle name="InputCells12 4 3 3" xfId="1198"/>
    <cellStyle name="InputCells12 4 4" xfId="543"/>
    <cellStyle name="InputCells12 4 4 2" xfId="758"/>
    <cellStyle name="InputCells12 4 4 2 2" xfId="927"/>
    <cellStyle name="InputCells12 4 4 3" xfId="1256"/>
    <cellStyle name="InputCells12 4 5" xfId="1095"/>
    <cellStyle name="InputCells12 5" xfId="101"/>
    <cellStyle name="InputCells12_BBorder" xfId="46"/>
    <cellStyle name="IntCells" xfId="174"/>
    <cellStyle name="KP_thin_border_dark_grey" xfId="56"/>
    <cellStyle name="Linked Cell 2" xfId="175"/>
    <cellStyle name="Linked Cell 3" xfId="261"/>
    <cellStyle name="Linked Cell 4" xfId="396"/>
    <cellStyle name="Neutral 2" xfId="176"/>
    <cellStyle name="Neutral 3" xfId="262"/>
    <cellStyle name="Normaali 2" xfId="177"/>
    <cellStyle name="Normaali 2 2" xfId="178"/>
    <cellStyle name="Normal 10" xfId="399"/>
    <cellStyle name="Normal 10 2" xfId="468"/>
    <cellStyle name="Normal 11" xfId="427"/>
    <cellStyle name="Normal 11 2" xfId="469"/>
    <cellStyle name="Normal 12" xfId="538"/>
    <cellStyle name="Normal 12 2" xfId="698"/>
    <cellStyle name="Normal 13" xfId="21"/>
    <cellStyle name="Normal 2" xfId="25"/>
    <cellStyle name="Normal 2 2" xfId="179"/>
    <cellStyle name="Normal 2 2 2" xfId="180"/>
    <cellStyle name="Normal 2 3" xfId="181"/>
    <cellStyle name="Normal 2 3 2" xfId="449"/>
    <cellStyle name="Normal 2 4" xfId="61"/>
    <cellStyle name="Normal 3" xfId="57"/>
    <cellStyle name="Normal 3 2" xfId="182"/>
    <cellStyle name="Normal 3 2 2" xfId="62"/>
    <cellStyle name="Normal 3 3" xfId="223"/>
    <cellStyle name="Normal 3 4" xfId="385"/>
    <cellStyle name="Normal 4" xfId="183"/>
    <cellStyle name="Normal 4 2" xfId="184"/>
    <cellStyle name="Normal 4 2 2" xfId="185"/>
    <cellStyle name="Normal 4 2 3" xfId="450"/>
    <cellStyle name="Normal 4 3" xfId="224"/>
    <cellStyle name="Normal 4 3 2" xfId="451"/>
    <cellStyle name="Normal 5" xfId="186"/>
    <cellStyle name="Normal 5 2" xfId="317"/>
    <cellStyle name="Normal 5 2 2" xfId="324"/>
    <cellStyle name="Normal 5 2 2 2" xfId="330"/>
    <cellStyle name="Normal 5 2 2 2 2" xfId="345"/>
    <cellStyle name="Normal 5 2 2 2 2 2" xfId="474"/>
    <cellStyle name="Normal 5 2 2 2 3" xfId="473"/>
    <cellStyle name="Normal 5 2 2 3" xfId="344"/>
    <cellStyle name="Normal 5 2 2 3 2" xfId="475"/>
    <cellStyle name="Normal 5 2 2 4" xfId="472"/>
    <cellStyle name="Normal 5 2 3" xfId="329"/>
    <cellStyle name="Normal 5 2 3 2" xfId="346"/>
    <cellStyle name="Normal 5 2 3 2 2" xfId="477"/>
    <cellStyle name="Normal 5 2 3 3" xfId="476"/>
    <cellStyle name="Normal 5 2 4" xfId="343"/>
    <cellStyle name="Normal 5 2 4 2" xfId="478"/>
    <cellStyle name="Normal 5 2 5" xfId="452"/>
    <cellStyle name="Normal 5 2 5 2" xfId="479"/>
    <cellStyle name="Normal 5 2 6" xfId="471"/>
    <cellStyle name="Normal 5 3" xfId="321"/>
    <cellStyle name="Normal 5 3 2" xfId="331"/>
    <cellStyle name="Normal 5 3 2 2" xfId="348"/>
    <cellStyle name="Normal 5 3 2 2 2" xfId="482"/>
    <cellStyle name="Normal 5 3 2 3" xfId="481"/>
    <cellStyle name="Normal 5 3 3" xfId="347"/>
    <cellStyle name="Normal 5 3 3 2" xfId="483"/>
    <cellStyle name="Normal 5 3 4" xfId="480"/>
    <cellStyle name="Normal 5 4" xfId="328"/>
    <cellStyle name="Normal 5 4 2" xfId="349"/>
    <cellStyle name="Normal 5 4 2 2" xfId="485"/>
    <cellStyle name="Normal 5 4 3" xfId="484"/>
    <cellStyle name="Normal 5 5" xfId="342"/>
    <cellStyle name="Normal 5 5 2" xfId="486"/>
    <cellStyle name="Normal 5 6" xfId="386"/>
    <cellStyle name="Normal 5 7" xfId="470"/>
    <cellStyle name="Normal 5 8" xfId="308"/>
    <cellStyle name="Normal 6" xfId="187"/>
    <cellStyle name="Normal 6 10" xfId="453"/>
    <cellStyle name="Normal 6 10 2" xfId="488"/>
    <cellStyle name="Normal 6 11" xfId="487"/>
    <cellStyle name="Normal 6 2" xfId="318"/>
    <cellStyle name="Normal 6 2 2" xfId="325"/>
    <cellStyle name="Normal 6 2 2 2" xfId="334"/>
    <cellStyle name="Normal 6 2 2 2 2" xfId="353"/>
    <cellStyle name="Normal 6 2 2 2 2 2" xfId="492"/>
    <cellStyle name="Normal 6 2 2 2 3" xfId="491"/>
    <cellStyle name="Normal 6 2 2 3" xfId="352"/>
    <cellStyle name="Normal 6 2 2 3 2" xfId="493"/>
    <cellStyle name="Normal 6 2 2 4" xfId="490"/>
    <cellStyle name="Normal 6 2 3" xfId="333"/>
    <cellStyle name="Normal 6 2 3 2" xfId="354"/>
    <cellStyle name="Normal 6 2 3 2 2" xfId="495"/>
    <cellStyle name="Normal 6 2 3 3" xfId="494"/>
    <cellStyle name="Normal 6 2 4" xfId="351"/>
    <cellStyle name="Normal 6 2 4 2" xfId="496"/>
    <cellStyle name="Normal 6 2 5" xfId="454"/>
    <cellStyle name="Normal 6 2 5 2" xfId="497"/>
    <cellStyle name="Normal 6 2 6" xfId="489"/>
    <cellStyle name="Normal 6 3" xfId="320"/>
    <cellStyle name="Normal 6 3 2" xfId="327"/>
    <cellStyle name="Normal 6 3 2 2" xfId="336"/>
    <cellStyle name="Normal 6 3 2 2 2" xfId="357"/>
    <cellStyle name="Normal 6 3 2 2 2 2" xfId="501"/>
    <cellStyle name="Normal 6 3 2 2 3" xfId="500"/>
    <cellStyle name="Normal 6 3 2 3" xfId="356"/>
    <cellStyle name="Normal 6 3 2 3 2" xfId="502"/>
    <cellStyle name="Normal 6 3 2 4" xfId="499"/>
    <cellStyle name="Normal 6 3 3" xfId="335"/>
    <cellStyle name="Normal 6 3 3 2" xfId="358"/>
    <cellStyle name="Normal 6 3 3 2 2" xfId="504"/>
    <cellStyle name="Normal 6 3 3 3" xfId="503"/>
    <cellStyle name="Normal 6 3 4" xfId="355"/>
    <cellStyle name="Normal 6 3 4 2" xfId="505"/>
    <cellStyle name="Normal 6 3 5" xfId="498"/>
    <cellStyle name="Normal 6 4" xfId="322"/>
    <cellStyle name="Normal 6 4 2" xfId="337"/>
    <cellStyle name="Normal 6 4 2 2" xfId="360"/>
    <cellStyle name="Normal 6 4 2 2 2" xfId="508"/>
    <cellStyle name="Normal 6 4 2 3" xfId="507"/>
    <cellStyle name="Normal 6 4 3" xfId="359"/>
    <cellStyle name="Normal 6 4 3 2" xfId="509"/>
    <cellStyle name="Normal 6 4 4" xfId="506"/>
    <cellStyle name="Normal 6 5" xfId="332"/>
    <cellStyle name="Normal 6 5 2" xfId="361"/>
    <cellStyle name="Normal 6 5 2 2" xfId="511"/>
    <cellStyle name="Normal 6 5 3" xfId="510"/>
    <cellStyle name="Normal 6 6" xfId="350"/>
    <cellStyle name="Normal 6 6 2" xfId="512"/>
    <cellStyle name="Normal 6 7" xfId="387"/>
    <cellStyle name="Normal 6 7 2" xfId="513"/>
    <cellStyle name="Normal 6 8" xfId="423"/>
    <cellStyle name="Normal 6 8 2" xfId="514"/>
    <cellStyle name="Normal 6 9" xfId="426"/>
    <cellStyle name="Normal 6 9 2" xfId="515"/>
    <cellStyle name="Normal 7" xfId="55"/>
    <cellStyle name="Normal 7 2" xfId="319"/>
    <cellStyle name="Normal 7 2 2" xfId="326"/>
    <cellStyle name="Normal 7 2 2 2" xfId="340"/>
    <cellStyle name="Normal 7 2 2 2 2" xfId="365"/>
    <cellStyle name="Normal 7 2 2 2 2 2" xfId="520"/>
    <cellStyle name="Normal 7 2 2 2 3" xfId="519"/>
    <cellStyle name="Normal 7 2 2 3" xfId="364"/>
    <cellStyle name="Normal 7 2 2 3 2" xfId="521"/>
    <cellStyle name="Normal 7 2 2 4" xfId="518"/>
    <cellStyle name="Normal 7 2 3" xfId="339"/>
    <cellStyle name="Normal 7 2 3 2" xfId="366"/>
    <cellStyle name="Normal 7 2 3 2 2" xfId="523"/>
    <cellStyle name="Normal 7 2 3 3" xfId="522"/>
    <cellStyle name="Normal 7 2 4" xfId="363"/>
    <cellStyle name="Normal 7 2 4 2" xfId="524"/>
    <cellStyle name="Normal 7 2 5" xfId="455"/>
    <cellStyle name="Normal 7 2 5 2" xfId="525"/>
    <cellStyle name="Normal 7 2 6" xfId="517"/>
    <cellStyle name="Normal 7 3" xfId="323"/>
    <cellStyle name="Normal 7 3 2" xfId="341"/>
    <cellStyle name="Normal 7 3 2 2" xfId="368"/>
    <cellStyle name="Normal 7 3 2 2 2" xfId="528"/>
    <cellStyle name="Normal 7 3 2 3" xfId="527"/>
    <cellStyle name="Normal 7 3 3" xfId="367"/>
    <cellStyle name="Normal 7 3 3 2" xfId="529"/>
    <cellStyle name="Normal 7 3 4" xfId="526"/>
    <cellStyle name="Normal 7 4" xfId="338"/>
    <cellStyle name="Normal 7 4 2" xfId="369"/>
    <cellStyle name="Normal 7 4 2 2" xfId="531"/>
    <cellStyle name="Normal 7 4 3" xfId="530"/>
    <cellStyle name="Normal 7 5" xfId="362"/>
    <cellStyle name="Normal 7 5 2" xfId="532"/>
    <cellStyle name="Normal 7 6" xfId="375"/>
    <cellStyle name="Normal 7 7" xfId="516"/>
    <cellStyle name="Normal 7 8" xfId="316"/>
    <cellStyle name="Normal 8" xfId="263"/>
    <cellStyle name="Normal 8 2" xfId="457"/>
    <cellStyle name="Normal 8 3" xfId="456"/>
    <cellStyle name="Normal 9" xfId="370"/>
    <cellStyle name="Normal 9 2" xfId="533"/>
    <cellStyle name="Normal GHG Numbers (0.00)" xfId="188"/>
    <cellStyle name="Normal GHG Numbers (0.00) 2" xfId="189"/>
    <cellStyle name="Normal GHG Numbers (0.00) 3" xfId="58"/>
    <cellStyle name="Normal GHG Numbers (0.00) 3 2" xfId="458"/>
    <cellStyle name="Normal GHG Numbers (0.00) 3 2 2" xfId="607"/>
    <cellStyle name="Normal GHG Numbers (0.00) 3 2 2 2" xfId="822"/>
    <cellStyle name="Normal GHG Numbers (0.00) 3 2 2 2 2" xfId="1205"/>
    <cellStyle name="Normal GHG Numbers (0.00) 3 2 2 3" xfId="1236"/>
    <cellStyle name="Normal GHG Numbers (0.00) 3 2 3" xfId="748"/>
    <cellStyle name="Normal GHG Numbers (0.00) 3 2 3 2" xfId="1352"/>
    <cellStyle name="Normal GHG Numbers (0.00) 3 3" xfId="388"/>
    <cellStyle name="Normal GHG Numbers (0.00) 3 3 2" xfId="666"/>
    <cellStyle name="Normal GHG Numbers (0.00) 3 3 2 2" xfId="881"/>
    <cellStyle name="Normal GHG Numbers (0.00) 3 3 2 2 2" xfId="973"/>
    <cellStyle name="Normal GHG Numbers (0.00) 3 3 2 3" xfId="1321"/>
    <cellStyle name="Normal GHG Numbers (0.00) 3 3 3" xfId="563"/>
    <cellStyle name="Normal GHG Numbers (0.00) 3 3 3 2" xfId="778"/>
    <cellStyle name="Normal GHG Numbers (0.00) 3 3 3 2 2" xfId="1117"/>
    <cellStyle name="Normal GHG Numbers (0.00) 3 3 3 3" xfId="1190"/>
    <cellStyle name="Normal GHG Numbers (0.00) 3 3 4" xfId="696"/>
    <cellStyle name="Normal GHG Numbers (0.00) 3 3 4 2" xfId="911"/>
    <cellStyle name="Normal GHG Numbers (0.00) 3 3 4 2 2" xfId="1369"/>
    <cellStyle name="Normal GHG Numbers (0.00) 3 3 4 3" xfId="1277"/>
    <cellStyle name="Normal GHG Numbers (0.00) 3 3 5" xfId="1311"/>
    <cellStyle name="Normal GHG Numbers (0.00) 3 4" xfId="190"/>
    <cellStyle name="Normal GHG Textfiels Bold" xfId="26"/>
    <cellStyle name="Normal GHG Textfiels Bold 2" xfId="191"/>
    <cellStyle name="Normal GHG Textfiels Bold 3" xfId="192"/>
    <cellStyle name="Normal GHG Textfiels Bold 3 2" xfId="459"/>
    <cellStyle name="Normal GHG Textfiels Bold 3 2 2" xfId="551"/>
    <cellStyle name="Normal GHG Textfiels Bold 3 2 2 2" xfId="766"/>
    <cellStyle name="Normal GHG Textfiels Bold 3 2 2 2 2" xfId="1006"/>
    <cellStyle name="Normal GHG Textfiels Bold 3 2 2 3" xfId="1021"/>
    <cellStyle name="Normal GHG Textfiels Bold 3 2 3" xfId="749"/>
    <cellStyle name="Normal GHG Textfiels Bold 3 2 3 2" xfId="1252"/>
    <cellStyle name="Normal GHG Textfiels Bold 3 3" xfId="389"/>
    <cellStyle name="Normal GHG Textfiels Bold 3 3 2" xfId="667"/>
    <cellStyle name="Normal GHG Textfiels Bold 3 3 2 2" xfId="882"/>
    <cellStyle name="Normal GHG Textfiels Bold 3 3 2 2 2" xfId="1063"/>
    <cellStyle name="Normal GHG Textfiels Bold 3 3 2 3" xfId="1220"/>
    <cellStyle name="Normal GHG Textfiels Bold 3 3 3" xfId="610"/>
    <cellStyle name="Normal GHG Textfiels Bold 3 3 3 2" xfId="825"/>
    <cellStyle name="Normal GHG Textfiels Bold 3 3 3 2 2" xfId="1112"/>
    <cellStyle name="Normal GHG Textfiels Bold 3 3 3 3" xfId="1086"/>
    <cellStyle name="Normal GHG Textfiels Bold 3 3 4" xfId="585"/>
    <cellStyle name="Normal GHG Textfiels Bold 3 3 4 2" xfId="800"/>
    <cellStyle name="Normal GHG Textfiels Bold 3 3 4 2 2" xfId="993"/>
    <cellStyle name="Normal GHG Textfiels Bold 3 3 4 3" xfId="1186"/>
    <cellStyle name="Normal GHG Textfiels Bold 3 3 5" xfId="1208"/>
    <cellStyle name="Normal GHG whole table" xfId="34"/>
    <cellStyle name="Normal GHG whole table 2" xfId="460"/>
    <cellStyle name="Normal GHG whole table 2 2" xfId="606"/>
    <cellStyle name="Normal GHG whole table 2 2 2" xfId="821"/>
    <cellStyle name="Normal GHG whole table 2 2 2 2" xfId="1308"/>
    <cellStyle name="Normal GHG whole table 2 2 3" xfId="1336"/>
    <cellStyle name="Normal GHG whole table 2 3" xfId="750"/>
    <cellStyle name="Normal GHG whole table 2 3 2" xfId="1317"/>
    <cellStyle name="Normal GHG whole table 3" xfId="309"/>
    <cellStyle name="Normal GHG whole table 3 2" xfId="646"/>
    <cellStyle name="Normal GHG whole table 3 2 2" xfId="861"/>
    <cellStyle name="Normal GHG whole table 3 2 2 2" xfId="1111"/>
    <cellStyle name="Normal GHG whole table 3 2 3" xfId="1151"/>
    <cellStyle name="Normal GHG whole table 3 3" xfId="567"/>
    <cellStyle name="Normal GHG whole table 3 3 2" xfId="782"/>
    <cellStyle name="Normal GHG whole table 3 3 2 2" xfId="1051"/>
    <cellStyle name="Normal GHG whole table 3 3 3" xfId="1268"/>
    <cellStyle name="Normal GHG whole table 3 4" xfId="654"/>
    <cellStyle name="Normal GHG whole table 3 4 2" xfId="869"/>
    <cellStyle name="Normal GHG whole table 3 4 2 2" xfId="70"/>
    <cellStyle name="Normal GHG whole table 3 4 3" xfId="1193"/>
    <cellStyle name="Normal GHG whole table 3 5" xfId="1100"/>
    <cellStyle name="Normal GHG whole table 4" xfId="96"/>
    <cellStyle name="Normal GHG-Shade" xfId="32"/>
    <cellStyle name="Normal GHG-Shade 2" xfId="193"/>
    <cellStyle name="Normal GHG-Shade 2 2" xfId="194"/>
    <cellStyle name="Normal GHG-Shade 2 3" xfId="195"/>
    <cellStyle name="Normal GHG-Shade 2 4" xfId="225"/>
    <cellStyle name="Normal GHG-Shade 2 5" xfId="390"/>
    <cellStyle name="Normal GHG-Shade 3" xfId="196"/>
    <cellStyle name="Normal GHG-Shade 3 2" xfId="197"/>
    <cellStyle name="Normal GHG-Shade 4" xfId="198"/>
    <cellStyle name="Normal GHG-Shade 4 2" xfId="461"/>
    <cellStyle name="Normál_Munka1" xfId="47"/>
    <cellStyle name="Normalny" xfId="0" builtinId="0"/>
    <cellStyle name="Normalny 2" xfId="5"/>
    <cellStyle name="Normalny 2 2" xfId="10"/>
    <cellStyle name="Normalny 2 3" xfId="20"/>
    <cellStyle name="Normalny 3" xfId="6"/>
    <cellStyle name="Normalny 4" xfId="9"/>
    <cellStyle name="Normalny 6" xfId="7"/>
    <cellStyle name="Note 2" xfId="199"/>
    <cellStyle name="Note 2 2" xfId="589"/>
    <cellStyle name="Note 2 2 2" xfId="804"/>
    <cellStyle name="Note 2 2 2 2" xfId="991"/>
    <cellStyle name="Note 2 2 3" xfId="1267"/>
    <cellStyle name="Note 2 3" xfId="653"/>
    <cellStyle name="Note 2 3 2" xfId="868"/>
    <cellStyle name="Note 2 3 2 2" xfId="979"/>
    <cellStyle name="Note 2 3 3" xfId="1298"/>
    <cellStyle name="Note 2 4" xfId="548"/>
    <cellStyle name="Note 2 4 2" xfId="763"/>
    <cellStyle name="Note 2 4 2 2" xfId="69"/>
    <cellStyle name="Note 2 4 3" xfId="1294"/>
    <cellStyle name="Note 2 5" xfId="712"/>
    <cellStyle name="Note 2 5 2" xfId="1318"/>
    <cellStyle name="Note 2 6" xfId="1171"/>
    <cellStyle name="Note 3" xfId="264"/>
    <cellStyle name="Note 3 2" xfId="617"/>
    <cellStyle name="Note 3 2 2" xfId="832"/>
    <cellStyle name="Note 3 2 2 2" xfId="987"/>
    <cellStyle name="Note 3 2 3" xfId="1197"/>
    <cellStyle name="Note 3 3" xfId="583"/>
    <cellStyle name="Note 3 3 2" xfId="798"/>
    <cellStyle name="Note 3 3 2 2" xfId="994"/>
    <cellStyle name="Note 3 3 3" xfId="1265"/>
    <cellStyle name="Note 3 4" xfId="601"/>
    <cellStyle name="Note 3 4 2" xfId="816"/>
    <cellStyle name="Note 3 4 2 2" xfId="1132"/>
    <cellStyle name="Note 3 4 3" xfId="936"/>
    <cellStyle name="Note 3 5" xfId="718"/>
    <cellStyle name="Note 3 5 2" xfId="1144"/>
    <cellStyle name="Note 3 6" xfId="1168"/>
    <cellStyle name="Notiz" xfId="200"/>
    <cellStyle name="Notiz 2" xfId="590"/>
    <cellStyle name="Notiz 2 2" xfId="805"/>
    <cellStyle name="Notiz 2 2 2" xfId="1075"/>
    <cellStyle name="Notiz 2 3" xfId="1287"/>
    <cellStyle name="Notiz 3" xfId="652"/>
    <cellStyle name="Notiz 3 2" xfId="867"/>
    <cellStyle name="Notiz 3 2 2" xfId="980"/>
    <cellStyle name="Notiz 3 3" xfId="1212"/>
    <cellStyle name="Notiz 4" xfId="621"/>
    <cellStyle name="Notiz 4 2" xfId="836"/>
    <cellStyle name="Notiz 4 2 2" xfId="985"/>
    <cellStyle name="Notiz 4 3" xfId="1224"/>
    <cellStyle name="Notiz 5" xfId="713"/>
    <cellStyle name="Notiz 5 2" xfId="1216"/>
    <cellStyle name="Notiz 6" xfId="1172"/>
    <cellStyle name="Output 2" xfId="201"/>
    <cellStyle name="Output 2 2" xfId="591"/>
    <cellStyle name="Output 2 2 2" xfId="806"/>
    <cellStyle name="Output 2 2 2 2" xfId="1137"/>
    <cellStyle name="Output 2 2 3" xfId="1182"/>
    <cellStyle name="Output 2 3" xfId="687"/>
    <cellStyle name="Output 2 3 2" xfId="902"/>
    <cellStyle name="Output 2 3 2 2" xfId="1360"/>
    <cellStyle name="Output 2 3 3" xfId="1319"/>
    <cellStyle name="Output 2 4" xfId="714"/>
    <cellStyle name="Output 2 4 2" xfId="1078"/>
    <cellStyle name="Output 2 5" xfId="1108"/>
    <cellStyle name="Output 3" xfId="265"/>
    <cellStyle name="Output 3 2" xfId="618"/>
    <cellStyle name="Output 3 2 2" xfId="833"/>
    <cellStyle name="Output 3 2 2 2" xfId="1040"/>
    <cellStyle name="Output 3 2 3" xfId="1310"/>
    <cellStyle name="Output 3 3" xfId="669"/>
    <cellStyle name="Output 3 3 2" xfId="884"/>
    <cellStyle name="Output 3 3 2 2" xfId="1062"/>
    <cellStyle name="Output 3 3 3" xfId="1276"/>
    <cellStyle name="Output 3 4" xfId="719"/>
    <cellStyle name="Output 3 4 2" xfId="1330"/>
    <cellStyle name="Output 3 5" xfId="1169"/>
    <cellStyle name="Pattern" xfId="202"/>
    <cellStyle name="Pattern 2" xfId="462"/>
    <cellStyle name="Pattern 2 2" xfId="605"/>
    <cellStyle name="Pattern 2 2 2" xfId="820"/>
    <cellStyle name="Pattern 2 2 2 2" xfId="1251"/>
    <cellStyle name="Pattern 2 2 3" xfId="1247"/>
    <cellStyle name="Pattern 2 3" xfId="751"/>
    <cellStyle name="Pattern 2 3 2" xfId="1215"/>
    <cellStyle name="Pattern 3" xfId="311"/>
    <cellStyle name="Pattern 3 2" xfId="648"/>
    <cellStyle name="Pattern 3 2 2" xfId="863"/>
    <cellStyle name="Pattern 3 2 2 2" xfId="1286"/>
    <cellStyle name="Pattern 3 2 3" xfId="931"/>
    <cellStyle name="Pattern 3 3" xfId="547"/>
    <cellStyle name="Pattern 3 3 2" xfId="762"/>
    <cellStyle name="Pattern 3 3 2 2" xfId="1007"/>
    <cellStyle name="Pattern 3 3 3" xfId="1228"/>
    <cellStyle name="Pattern 3 4" xfId="661"/>
    <cellStyle name="Pattern 3 4 2" xfId="876"/>
    <cellStyle name="Pattern 3 4 2 2" xfId="1032"/>
    <cellStyle name="Pattern 3 4 3" xfId="1148"/>
    <cellStyle name="Pattern 3 5" xfId="1160"/>
    <cellStyle name="Percent 2" xfId="203"/>
    <cellStyle name="Percent 2 2" xfId="463"/>
    <cellStyle name="Procentowy" xfId="8" builtinId="5"/>
    <cellStyle name="RowLevel_1 2" xfId="106"/>
    <cellStyle name="Schlecht" xfId="204"/>
    <cellStyle name="Shade" xfId="43"/>
    <cellStyle name="Shade 2" xfId="205"/>
    <cellStyle name="Shade 2 2" xfId="465"/>
    <cellStyle name="Shade 2 2 2" xfId="550"/>
    <cellStyle name="Shade 2 2 2 2" xfId="765"/>
    <cellStyle name="Shade 2 2 2 2 2" xfId="1028"/>
    <cellStyle name="Shade 2 2 2 3" xfId="1022"/>
    <cellStyle name="Shade 2 2 3" xfId="753"/>
    <cellStyle name="Shade 2 2 3 2" xfId="1271"/>
    <cellStyle name="Shade 2 3" xfId="313"/>
    <cellStyle name="Shade 2 3 2" xfId="650"/>
    <cellStyle name="Shade 2 3 2 2" xfId="865"/>
    <cellStyle name="Shade 2 3 2 2 2" xfId="1140"/>
    <cellStyle name="Shade 2 3 2 3" xfId="967"/>
    <cellStyle name="Shade 2 3 3" xfId="679"/>
    <cellStyle name="Shade 2 3 3 2" xfId="894"/>
    <cellStyle name="Shade 2 3 3 2 2" xfId="942"/>
    <cellStyle name="Shade 2 3 3 3" xfId="934"/>
    <cellStyle name="Shade 2 3 4" xfId="593"/>
    <cellStyle name="Shade 2 3 4 2" xfId="808"/>
    <cellStyle name="Shade 2 3 4 2 2" xfId="1136"/>
    <cellStyle name="Shade 2 3 4 3" xfId="1240"/>
    <cellStyle name="Shade 2 3 5" xfId="1096"/>
    <cellStyle name="Shade 3" xfId="464"/>
    <cellStyle name="Shade 3 2" xfId="604"/>
    <cellStyle name="Shade 3 2 2" xfId="819"/>
    <cellStyle name="Shade 3 2 2 2" xfId="1351"/>
    <cellStyle name="Shade 3 2 3" xfId="1347"/>
    <cellStyle name="Shade 3 3" xfId="752"/>
    <cellStyle name="Shade 3 3 2" xfId="1077"/>
    <cellStyle name="Shade 4" xfId="312"/>
    <cellStyle name="Shade 4 2" xfId="65"/>
    <cellStyle name="Shade 4 2 2" xfId="649"/>
    <cellStyle name="Shade 4 2 2 2" xfId="929"/>
    <cellStyle name="Shade 4 2 3" xfId="864"/>
    <cellStyle name="Shade 4 2 3 2" xfId="1181"/>
    <cellStyle name="Shade 4 3" xfId="678"/>
    <cellStyle name="Shade 4 3 2" xfId="893"/>
    <cellStyle name="Shade 4 3 2 2" xfId="1120"/>
    <cellStyle name="Shade 4 3 3" xfId="926"/>
    <cellStyle name="Shade 4 4" xfId="540"/>
    <cellStyle name="Shade 4 4 2" xfId="755"/>
    <cellStyle name="Shade 4 4 2 2" xfId="1203"/>
    <cellStyle name="Shade 4 4 3" xfId="1309"/>
    <cellStyle name="Shade 4 5" xfId="1101"/>
    <cellStyle name="Shade 5" xfId="103"/>
    <cellStyle name="Shade_B_border2" xfId="206"/>
    <cellStyle name="Standard 2" xfId="63"/>
    <cellStyle name="Standard 2 2" xfId="425"/>
    <cellStyle name="Standard 2 2 2" xfId="535"/>
    <cellStyle name="Standard 2 3" xfId="534"/>
    <cellStyle name="Title 2" xfId="207"/>
    <cellStyle name="Title 3" xfId="266"/>
    <cellStyle name="Total 2" xfId="208"/>
    <cellStyle name="Total 2 2" xfId="595"/>
    <cellStyle name="Total 2 2 2" xfId="810"/>
    <cellStyle name="Total 2 2 2 2" xfId="1135"/>
    <cellStyle name="Total 2 2 3" xfId="1019"/>
    <cellStyle name="Total 2 3" xfId="656"/>
    <cellStyle name="Total 2 3 2" xfId="871"/>
    <cellStyle name="Total 2 3 2 2" xfId="978"/>
    <cellStyle name="Total 2 3 3" xfId="1219"/>
    <cellStyle name="Total 2 4" xfId="544"/>
    <cellStyle name="Total 2 4 2" xfId="759"/>
    <cellStyle name="Total 2 4 2 2" xfId="73"/>
    <cellStyle name="Total 2 4 3" xfId="1290"/>
    <cellStyle name="Total 2 5" xfId="715"/>
    <cellStyle name="Total 2 5 2" xfId="1272"/>
    <cellStyle name="Total 2 6" xfId="1107"/>
    <cellStyle name="Total 3" xfId="267"/>
    <cellStyle name="Total 3 2" xfId="619"/>
    <cellStyle name="Total 3 2 2" xfId="834"/>
    <cellStyle name="Total 3 2 2 2" xfId="986"/>
    <cellStyle name="Total 3 2 3" xfId="1207"/>
    <cellStyle name="Total 3 3" xfId="582"/>
    <cellStyle name="Total 3 3 2" xfId="797"/>
    <cellStyle name="Total 3 3 2 2" xfId="1045"/>
    <cellStyle name="Total 3 3 3" xfId="1187"/>
    <cellStyle name="Total 3 4" xfId="623"/>
    <cellStyle name="Total 3 4 2" xfId="838"/>
    <cellStyle name="Total 3 4 2 2" xfId="984"/>
    <cellStyle name="Total 3 4 3" xfId="1281"/>
    <cellStyle name="Total 3 5" xfId="720"/>
    <cellStyle name="Total 3 5 2" xfId="1229"/>
    <cellStyle name="Total 3 6" xfId="1098"/>
    <cellStyle name="Überschrift" xfId="209"/>
    <cellStyle name="Überschrift 1" xfId="210"/>
    <cellStyle name="Überschrift 2" xfId="211"/>
    <cellStyle name="Überschrift 3" xfId="212"/>
    <cellStyle name="Überschrift 4" xfId="213"/>
    <cellStyle name="Verknüpfte Zelle" xfId="214"/>
    <cellStyle name="Warnender Text" xfId="74" hidden="1"/>
    <cellStyle name="Warnender Text" xfId="946" hidden="1"/>
    <cellStyle name="Warnender Text" xfId="1025" hidden="1"/>
    <cellStyle name="Warnender Text 2" xfId="424"/>
    <cellStyle name="Warnender Text 3" xfId="315"/>
    <cellStyle name="Warning Text 2" xfId="215"/>
    <cellStyle name="Warning Text 3" xfId="268"/>
    <cellStyle name="Zelle überprüfen" xfId="216"/>
    <cellStyle name="Гиперссылка" xfId="217"/>
    <cellStyle name="Гиперссылка 2" xfId="218"/>
    <cellStyle name="Гиперссылка 3" xfId="226"/>
    <cellStyle name="Гиперссылка 4" xfId="398"/>
    <cellStyle name="Обычный_2++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ustomXml" Target="../customXml/item3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7434210526315788"/>
          <c:y val="3.4567984587154196E-2"/>
          <c:w val="0.49835526315789552"/>
          <c:h val="0.87654532345998215"/>
        </c:manualLayout>
      </c:layout>
      <c:barChart>
        <c:barDir val="col"/>
        <c:grouping val="stacked"/>
        <c:ser>
          <c:idx val="2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SUM_PGN!$C$5:$L$5</c:f>
              <c:numCache>
                <c:formatCode>_-* #,##0\ _z_ł_-;\-* #,##0\ _z_ł_-;_-* "-"??\ _z_ł_-;_-@_-</c:formatCode>
                <c:ptCount val="10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  <c:pt idx="4">
                  <c:v>1499768</c:v>
                </c:pt>
                <c:pt idx="5">
                  <c:v>1452910</c:v>
                </c:pt>
                <c:pt idx="6">
                  <c:v>1417181</c:v>
                </c:pt>
                <c:pt idx="7">
                  <c:v>1379351</c:v>
                </c:pt>
                <c:pt idx="8">
                  <c:v>1375325</c:v>
                </c:pt>
                <c:pt idx="9" formatCode="_-* #,##0.00\ _z_ł_-;\-* #,##0.00\ _z_ł_-;_-* &quot;-&quot;??\ _z_ł_-;_-@_-">
                  <c:v>1442453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30D-4FE5-AD46-25CDA19EBAAF}"/>
            </c:ext>
          </c:extLst>
        </c:ser>
        <c:ser>
          <c:idx val="3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SUM_PGN!$C$6:$L$6</c:f>
              <c:numCache>
                <c:formatCode>_-* #,##0\ _z_ł_-;\-* #,##0\ _z_ł_-;_-* "-"??\ _z_ł_-;_-@_-</c:formatCode>
                <c:ptCount val="10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  <c:pt idx="4">
                  <c:v>1145131</c:v>
                </c:pt>
                <c:pt idx="5">
                  <c:v>1162780</c:v>
                </c:pt>
                <c:pt idx="6">
                  <c:v>1219625</c:v>
                </c:pt>
                <c:pt idx="7">
                  <c:v>1237166</c:v>
                </c:pt>
                <c:pt idx="8">
                  <c:v>1051388</c:v>
                </c:pt>
                <c:pt idx="9" formatCode="_-* #,##0.00\ _z_ł_-;\-* #,##0.00\ _z_ł_-;_-* &quot;-&quot;??\ _z_ł_-;_-@_-">
                  <c:v>1103873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30D-4FE5-AD46-25CDA19EBAAF}"/>
            </c:ext>
          </c:extLst>
        </c:ser>
        <c:ser>
          <c:idx val="4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SUM_PGN!$C$7:$L$7</c:f>
              <c:numCache>
                <c:formatCode>_-* #,##0\ _z_ł_-;\-* #,##0\ _z_ł_-;_-* "-"??\ _z_ł_-;_-@_-</c:formatCode>
                <c:ptCount val="10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  <c:pt idx="4">
                  <c:v>24256</c:v>
                </c:pt>
                <c:pt idx="5">
                  <c:v>23418</c:v>
                </c:pt>
                <c:pt idx="6">
                  <c:v>22534</c:v>
                </c:pt>
                <c:pt idx="7">
                  <c:v>25185</c:v>
                </c:pt>
                <c:pt idx="8">
                  <c:v>21285</c:v>
                </c:pt>
                <c:pt idx="9" formatCode="_-* #,##0.00\ _z_ł_-;\-* #,##0.00\ _z_ł_-;_-* &quot;-&quot;??\ _z_ł_-;_-@_-">
                  <c:v>17895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30D-4FE5-AD46-25CDA19EBAAF}"/>
            </c:ext>
          </c:extLst>
        </c:ser>
        <c:ser>
          <c:idx val="5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SUM_PGN!$C$8:$L$8</c:f>
              <c:numCache>
                <c:formatCode>_-* #,##0\ _z_ł_-;\-* #,##0\ _z_ł_-;_-* "-"??\ _z_ł_-;_-@_-</c:formatCode>
                <c:ptCount val="10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  <c:pt idx="4">
                  <c:v>1051632</c:v>
                </c:pt>
                <c:pt idx="5">
                  <c:v>1099967</c:v>
                </c:pt>
                <c:pt idx="6">
                  <c:v>1139908</c:v>
                </c:pt>
                <c:pt idx="7">
                  <c:v>1172607</c:v>
                </c:pt>
                <c:pt idx="8">
                  <c:v>953296</c:v>
                </c:pt>
                <c:pt idx="9" formatCode="_-* #,##0.00\ _z_ł_-;\-* #,##0.00\ _z_ł_-;_-* &quot;-&quot;??\ _z_ł_-;_-@_-">
                  <c:v>1245368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30D-4FE5-AD46-25CDA19EBAAF}"/>
            </c:ext>
          </c:extLst>
        </c:ser>
        <c:ser>
          <c:idx val="6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SUM_PGN!$C$9:$L$9</c:f>
              <c:numCache>
                <c:formatCode>_-* #,##0\ _z_ł_-;\-* #,##0\ _z_ł_-;_-* "-"??\ _z_ł_-;_-@_-</c:formatCode>
                <c:ptCount val="10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  <c:pt idx="4">
                  <c:v>64508</c:v>
                </c:pt>
                <c:pt idx="5">
                  <c:v>65196</c:v>
                </c:pt>
                <c:pt idx="6">
                  <c:v>63433</c:v>
                </c:pt>
                <c:pt idx="7">
                  <c:v>63645</c:v>
                </c:pt>
                <c:pt idx="8">
                  <c:v>59878</c:v>
                </c:pt>
                <c:pt idx="9" formatCode="_-* #,##0.00\ _z_ł_-;\-* #,##0.00\ _z_ł_-;_-* &quot;-&quot;??\ _z_ł_-;_-@_-">
                  <c:v>58844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30D-4FE5-AD46-25CDA19EBAAF}"/>
            </c:ext>
          </c:extLst>
        </c:ser>
        <c:ser>
          <c:idx val="0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val>
            <c:numRef>
              <c:f>SUM_PGN!$C$10:$L$10</c:f>
              <c:numCache>
                <c:formatCode>_-* #,##0\ _z_ł_-;\-* #,##0\ _z_ł_-;_-* "-"??\ _z_ł_-;_-@_-</c:formatCode>
                <c:ptCount val="10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>
                  <c:v>214370</c:v>
                </c:pt>
                <c:pt idx="8">
                  <c:v>6386</c:v>
                </c:pt>
                <c:pt idx="9" formatCode="_-* #,##0.00\ _z_ł_-;\-* #,##0.00\ _z_ł_-;_-* &quot;-&quot;??\ _z_ł_-;_-@_-">
                  <c:v>119436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227-4515-855B-A6851241032F}"/>
            </c:ext>
          </c:extLst>
        </c:ser>
        <c:ser>
          <c:idx val="7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SUM_PGN!$C$11:$L$11</c:f>
              <c:numCache>
                <c:formatCode>_-* #,##0\ _z_ł_-;\-* #,##0\ _z_ł_-;_-* "-"??\ _z_ł_-;_-@_-</c:formatCode>
                <c:ptCount val="10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>
                  <c:v>796956</c:v>
                </c:pt>
                <c:pt idx="7">
                  <c:v>806825</c:v>
                </c:pt>
                <c:pt idx="8">
                  <c:v>618072</c:v>
                </c:pt>
                <c:pt idx="9" formatCode="_-* #,##0.00\ _z_ł_-;\-* #,##0.00\ _z_ł_-;_-* &quot;-&quot;??\ _z_ł_-;_-@_-">
                  <c:v>601312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30D-4FE5-AD46-25CDA19EBAAF}"/>
            </c:ext>
          </c:extLst>
        </c:ser>
        <c:ser>
          <c:idx val="1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val>
            <c:numRef>
              <c:f>SUM_PGN!$C$12:$L$12</c:f>
              <c:numCache>
                <c:formatCode>_-* #,##0\ _z_ł_-;\-* #,##0\ _z_ł_-;_-* "-"??\ _z_ł_-;_-@_-</c:formatCode>
                <c:ptCount val="10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>
                  <c:v>102</c:v>
                </c:pt>
                <c:pt idx="7">
                  <c:v>102</c:v>
                </c:pt>
                <c:pt idx="8">
                  <c:v>104</c:v>
                </c:pt>
                <c:pt idx="9" formatCode="_-* #,##0.00\ _z_ł_-;\-* #,##0.00\ _z_ł_-;_-* &quot;-&quot;??\ _z_ł_-;_-@_-">
                  <c:v>106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27-4515-855B-A6851241032F}"/>
            </c:ext>
          </c:extLst>
        </c:ser>
        <c:ser>
          <c:idx val="8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SUM_PGN!$C$13:$L$13</c:f>
              <c:numCache>
                <c:formatCode>_-* #,##0\ _z_ł_-;\-* #,##0\ _z_ł_-;_-* "-"??\ _z_ł_-;_-@_-</c:formatCode>
                <c:ptCount val="10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>
                  <c:v>19662</c:v>
                </c:pt>
                <c:pt idx="7">
                  <c:v>19731</c:v>
                </c:pt>
                <c:pt idx="8">
                  <c:v>22804</c:v>
                </c:pt>
                <c:pt idx="9" formatCode="_-* #,##0.00\ _z_ł_-;\-* #,##0.00\ _z_ł_-;_-* &quot;-&quot;??\ _z_ł_-;_-@_-">
                  <c:v>25214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30D-4FE5-AD46-25CDA19EBAAF}"/>
            </c:ext>
          </c:extLst>
        </c:ser>
        <c:ser>
          <c:idx val="9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SUM_PGN!$C$14:$L$14</c:f>
              <c:numCache>
                <c:formatCode>_-* #,##0\ _z_ł_-;\-* #,##0\ _z_ł_-;_-* "-"??\ _z_ł_-;_-@_-</c:formatCode>
                <c:ptCount val="10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>
                  <c:v>-4448</c:v>
                </c:pt>
                <c:pt idx="7">
                  <c:v>-4444</c:v>
                </c:pt>
                <c:pt idx="8">
                  <c:v>-5049</c:v>
                </c:pt>
                <c:pt idx="9" formatCode="_-* #,##0.00\ _z_ł_-;\-* #,##0.00\ _z_ł_-;_-* &quot;-&quot;??\ _z_ł_-;_-@_-">
                  <c:v>-4432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30D-4FE5-AD46-25CDA19EBAAF}"/>
            </c:ext>
          </c:extLst>
        </c:ser>
        <c:dLbls/>
        <c:gapWidth val="300"/>
        <c:overlap val="100"/>
        <c:axId val="133788032"/>
        <c:axId val="133789952"/>
      </c:barChart>
      <c:catAx>
        <c:axId val="13378803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789952"/>
        <c:crosses val="autoZero"/>
        <c:auto val="1"/>
        <c:lblAlgn val="ctr"/>
        <c:lblOffset val="100"/>
      </c:catAx>
      <c:valAx>
        <c:axId val="133789952"/>
        <c:scaling>
          <c:orientation val="minMax"/>
          <c:min val="-5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Emisja Mg CO</a:t>
                </a:r>
                <a:r>
                  <a:rPr lang="pl-PL" baseline="-25000"/>
                  <a:t>2</a:t>
                </a:r>
                <a:r>
                  <a:rPr lang="pl-PL"/>
                  <a:t>e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37880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areaChart>
        <c:grouping val="stacked"/>
        <c:ser>
          <c:idx val="0"/>
          <c:order val="0"/>
          <c:tx>
            <c:strRef>
              <c:f>SUM_PGN!$B$117</c:f>
              <c:strCache>
                <c:ptCount val="1"/>
                <c:pt idx="0">
                  <c:v>Budynki i urządzenia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cat>
            <c:numRef>
              <c:f>SUM_PGN!$C$116:$L$116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SUM_PGN!$C$117:$L$117</c:f>
              <c:numCache>
                <c:formatCode>_-* #,##0\ _z_ł_-;\-* #,##0\ _z_ł_-;_-* "-"??\ _z_ł_-;_-@_-</c:formatCode>
                <c:ptCount val="10"/>
                <c:pt idx="0">
                  <c:v>2406952</c:v>
                </c:pt>
                <c:pt idx="1">
                  <c:v>2703370</c:v>
                </c:pt>
                <c:pt idx="2">
                  <c:v>2373745</c:v>
                </c:pt>
                <c:pt idx="3">
                  <c:v>2417147</c:v>
                </c:pt>
                <c:pt idx="4">
                  <c:v>2669265</c:v>
                </c:pt>
                <c:pt idx="5">
                  <c:v>2639218</c:v>
                </c:pt>
                <c:pt idx="6">
                  <c:v>2659442</c:v>
                </c:pt>
                <c:pt idx="7">
                  <c:v>2641804</c:v>
                </c:pt>
                <c:pt idx="8">
                  <c:v>2448102</c:v>
                </c:pt>
                <c:pt idx="9">
                  <c:v>2564327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B2-4FF1-B0DE-68789FD19752}"/>
            </c:ext>
          </c:extLst>
        </c:ser>
        <c:ser>
          <c:idx val="1"/>
          <c:order val="1"/>
          <c:tx>
            <c:strRef>
              <c:f>SUM_PGN!$B$118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cat>
            <c:numRef>
              <c:f>SUM_PGN!$C$116:$L$116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SUM_PGN!$C$118:$L$118</c:f>
              <c:numCache>
                <c:formatCode>_-* #,##0\ _z_ł_-;\-* #,##0\ _z_ł_-;_-* "-"??\ _z_ł_-;_-@_-</c:formatCode>
                <c:ptCount val="10"/>
                <c:pt idx="0">
                  <c:v>574255</c:v>
                </c:pt>
                <c:pt idx="1">
                  <c:v>1122183</c:v>
                </c:pt>
                <c:pt idx="2">
                  <c:v>1176469</c:v>
                </c:pt>
                <c:pt idx="3">
                  <c:v>1221099</c:v>
                </c:pt>
                <c:pt idx="4">
                  <c:v>1305884</c:v>
                </c:pt>
                <c:pt idx="5">
                  <c:v>1356146</c:v>
                </c:pt>
                <c:pt idx="6">
                  <c:v>1419678</c:v>
                </c:pt>
                <c:pt idx="7">
                  <c:v>1450622</c:v>
                </c:pt>
                <c:pt idx="8">
                  <c:v>1019560</c:v>
                </c:pt>
                <c:pt idx="9">
                  <c:v>1423648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B2-4FF1-B0DE-68789FD19752}"/>
            </c:ext>
          </c:extLst>
        </c:ser>
        <c:ser>
          <c:idx val="2"/>
          <c:order val="2"/>
          <c:tx>
            <c:strRef>
              <c:f>SUM_PGN!$B$119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cat>
            <c:numRef>
              <c:f>SUM_PGN!$C$116:$L$116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SUM_PGN!$C$119:$L$119</c:f>
              <c:numCache>
                <c:formatCode>_-* #,##0\ _z_ł_-;\-* #,##0\ _z_ł_-;_-* "-"??\ _z_ł_-;_-@_-</c:formatCode>
                <c:ptCount val="10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>
                  <c:v>19662</c:v>
                </c:pt>
                <c:pt idx="7">
                  <c:v>19731</c:v>
                </c:pt>
                <c:pt idx="8">
                  <c:v>22804</c:v>
                </c:pt>
                <c:pt idx="9">
                  <c:v>25214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6B2-4FF1-B0DE-68789FD19752}"/>
            </c:ext>
          </c:extLst>
        </c:ser>
        <c:ser>
          <c:idx val="3"/>
          <c:order val="3"/>
          <c:tx>
            <c:strRef>
              <c:f>SUM_PGN!$B$120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cat>
            <c:numRef>
              <c:f>SUM_PGN!$C$116:$L$116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SUM_PGN!$C$120:$L$120</c:f>
              <c:numCache>
                <c:formatCode>_-* #,##0\ _z_ł_-;\-* #,##0\ _z_ł_-;_-* "-"??\ _z_ł_-;_-@_-</c:formatCode>
                <c:ptCount val="10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>
                  <c:v>796956</c:v>
                </c:pt>
                <c:pt idx="7">
                  <c:v>806825</c:v>
                </c:pt>
                <c:pt idx="8">
                  <c:v>618072</c:v>
                </c:pt>
                <c:pt idx="9">
                  <c:v>601312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6B2-4FF1-B0DE-68789FD19752}"/>
            </c:ext>
          </c:extLst>
        </c:ser>
        <c:ser>
          <c:idx val="4"/>
          <c:order val="4"/>
          <c:tx>
            <c:strRef>
              <c:f>SUM_PGN!$B$121</c:f>
              <c:strCache>
                <c:ptCount val="1"/>
                <c:pt idx="0">
                  <c:v>Użytkowanie ziemi (AFOLU)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SUM_PGN!$C$116:$L$116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SUM_PGN!$C$121:$L$121</c:f>
              <c:numCache>
                <c:formatCode>_-* #,##0\ _z_ł_-;\-* #,##0\ _z_ł_-;_-* "-"??\ _z_ł_-;_-@_-</c:formatCode>
                <c:ptCount val="10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>
                  <c:v>-4448</c:v>
                </c:pt>
                <c:pt idx="7">
                  <c:v>-4444</c:v>
                </c:pt>
                <c:pt idx="8">
                  <c:v>-5049</c:v>
                </c:pt>
                <c:pt idx="9">
                  <c:v>-4432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6B2-4FF1-B0DE-68789FD19752}"/>
            </c:ext>
          </c:extLst>
        </c:ser>
        <c:dLbls/>
        <c:axId val="135567232"/>
        <c:axId val="135568768"/>
      </c:areaChart>
      <c:catAx>
        <c:axId val="13556723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568768"/>
        <c:crosses val="autoZero"/>
        <c:auto val="1"/>
        <c:lblAlgn val="ctr"/>
        <c:lblOffset val="100"/>
      </c:catAx>
      <c:valAx>
        <c:axId val="1355687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567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/>
      <c:barChart>
        <c:barDir val="bar"/>
        <c:grouping val="percentStacke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SUM_PGN!$O$4:$X$4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SUM_PGN!$O$5:$X$5</c:f>
              <c:numCache>
                <c:formatCode>0.0%</c:formatCode>
                <c:ptCount val="10"/>
                <c:pt idx="0">
                  <c:v>0.36838253814093824</c:v>
                </c:pt>
                <c:pt idx="1">
                  <c:v>0.35754094299532718</c:v>
                </c:pt>
                <c:pt idx="2">
                  <c:v>0.31628852503135829</c:v>
                </c:pt>
                <c:pt idx="3">
                  <c:v>0.31348967253828658</c:v>
                </c:pt>
                <c:pt idx="4">
                  <c:v>0.32534558673113556</c:v>
                </c:pt>
                <c:pt idx="5">
                  <c:v>0.31213545240531054</c:v>
                </c:pt>
                <c:pt idx="6">
                  <c:v>0.28989174120658112</c:v>
                </c:pt>
                <c:pt idx="7">
                  <c:v>0.28066748084967497</c:v>
                </c:pt>
                <c:pt idx="8">
                  <c:v>0.33515990904325565</c:v>
                </c:pt>
                <c:pt idx="9">
                  <c:v>0.31289184608733622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76-4F80-88CE-AE36A464E6A2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SUM_PGN!$O$4:$X$4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SUM_PGN!$O$6:$X$6</c:f>
              <c:numCache>
                <c:formatCode>0.0%</c:formatCode>
                <c:ptCount val="10"/>
                <c:pt idx="0">
                  <c:v>0.12089985561430258</c:v>
                </c:pt>
                <c:pt idx="1">
                  <c:v>0.25600304995613044</c:v>
                </c:pt>
                <c:pt idx="2">
                  <c:v>0.24694611181330167</c:v>
                </c:pt>
                <c:pt idx="3">
                  <c:v>0.24753235407541527</c:v>
                </c:pt>
                <c:pt idx="4">
                  <c:v>0.24841396607942828</c:v>
                </c:pt>
                <c:pt idx="5">
                  <c:v>0.24980546719882649</c:v>
                </c:pt>
                <c:pt idx="6">
                  <c:v>0.24948063435021814</c:v>
                </c:pt>
                <c:pt idx="7">
                  <c:v>0.2517359719265575</c:v>
                </c:pt>
                <c:pt idx="8">
                  <c:v>0.25621806223923105</c:v>
                </c:pt>
                <c:pt idx="9">
                  <c:v>0.23944825988504728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76-4F80-88CE-AE36A464E6A2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SUM_PGN!$O$4:$X$4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SUM_PGN!$O$7:$X$7</c:f>
              <c:numCache>
                <c:formatCode>0.0%</c:formatCode>
                <c:ptCount val="10"/>
                <c:pt idx="0">
                  <c:v>9.6480326541781153E-3</c:v>
                </c:pt>
                <c:pt idx="1">
                  <c:v>7.6784346132332979E-3</c:v>
                </c:pt>
                <c:pt idx="2">
                  <c:v>7.1371930853185569E-3</c:v>
                </c:pt>
                <c:pt idx="3">
                  <c:v>6.2993537986830925E-3</c:v>
                </c:pt>
                <c:pt idx="4">
                  <c:v>5.2618688702188764E-3</c:v>
                </c:pt>
                <c:pt idx="5">
                  <c:v>5.0309984957275832E-3</c:v>
                </c:pt>
                <c:pt idx="6">
                  <c:v>4.6094468500135826E-3</c:v>
                </c:pt>
                <c:pt idx="7">
                  <c:v>5.1245915689328275E-3</c:v>
                </c:pt>
                <c:pt idx="8">
                  <c:v>5.1870493621403637E-3</c:v>
                </c:pt>
                <c:pt idx="9">
                  <c:v>3.8817206423591489E-3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76-4F80-88CE-AE36A464E6A2}"/>
            </c:ext>
          </c:extLst>
        </c:ser>
        <c:ser>
          <c:idx val="3"/>
          <c:order val="3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SUM_PGN!$O$4:$X$4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SUM_PGN!$O$8:$X$8</c:f>
              <c:numCache>
                <c:formatCode>0.0%</c:formatCode>
                <c:ptCount val="10"/>
                <c:pt idx="0">
                  <c:v>9.4420990550147854E-2</c:v>
                </c:pt>
                <c:pt idx="1">
                  <c:v>0.21639475514174528</c:v>
                </c:pt>
                <c:pt idx="2">
                  <c:v>0.23580154652800139</c:v>
                </c:pt>
                <c:pt idx="3">
                  <c:v>0.23818941578058778</c:v>
                </c:pt>
                <c:pt idx="4">
                  <c:v>0.22813117099793936</c:v>
                </c:pt>
                <c:pt idx="5">
                  <c:v>0.23631105655265103</c:v>
                </c:pt>
                <c:pt idx="6">
                  <c:v>0.23317410756657864</c:v>
                </c:pt>
                <c:pt idx="7">
                  <c:v>0.23859964049520016</c:v>
                </c:pt>
                <c:pt idx="8">
                  <c:v>0.23231352636743999</c:v>
                </c:pt>
                <c:pt idx="9">
                  <c:v>0.2701408590630639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576-4F80-88CE-AE36A464E6A2}"/>
            </c:ext>
          </c:extLst>
        </c:ser>
        <c:ser>
          <c:idx val="4"/>
          <c:order val="4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SUM_PGN!$O$4:$X$4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SUM_PGN!$O$9:$X$9</c:f>
              <c:numCache>
                <c:formatCode>0.0%</c:formatCode>
                <c:ptCount val="10"/>
                <c:pt idx="0">
                  <c:v>2.4623099431267538E-2</c:v>
                </c:pt>
                <c:pt idx="1">
                  <c:v>1.5179230883425585E-2</c:v>
                </c:pt>
                <c:pt idx="2">
                  <c:v>1.6033573786879023E-2</c:v>
                </c:pt>
                <c:pt idx="3">
                  <c:v>1.5139761484561325E-2</c:v>
                </c:pt>
                <c:pt idx="4">
                  <c:v>1.3993759774079786E-2</c:v>
                </c:pt>
                <c:pt idx="5">
                  <c:v>1.4006361684492933E-2</c:v>
                </c:pt>
                <c:pt idx="6">
                  <c:v>1.2931570558452057E-2</c:v>
                </c:pt>
                <c:pt idx="7">
                  <c:v>1.2950352606898146E-2</c:v>
                </c:pt>
                <c:pt idx="8">
                  <c:v>1.4591972830925098E-2</c:v>
                </c:pt>
                <c:pt idx="9">
                  <c:v>1.2764234114500238E-2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9576-4F80-88CE-AE36A464E6A2}"/>
            </c:ext>
          </c:extLst>
        </c:ser>
        <c:ser>
          <c:idx val="8"/>
          <c:order val="5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solidFill>
              <a:schemeClr val="accent3">
                <a:lumMod val="60000"/>
                <a:alpha val="7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SUM_PGN!$O$10:$X$10</c:f>
              <c:numCache>
                <c:formatCode>0.0%</c:formatCode>
                <c:ptCount val="10"/>
                <c:pt idx="0">
                  <c:v>0</c:v>
                </c:pt>
                <c:pt idx="1">
                  <c:v>2.6307939859424416E-2</c:v>
                </c:pt>
                <c:pt idx="2">
                  <c:v>3.0862557009597315E-2</c:v>
                </c:pt>
                <c:pt idx="3">
                  <c:v>3.3284379043745982E-2</c:v>
                </c:pt>
                <c:pt idx="4">
                  <c:v>4.1161281617365209E-2</c:v>
                </c:pt>
                <c:pt idx="5">
                  <c:v>4.1029771360045306E-2</c:v>
                </c:pt>
                <c:pt idx="6">
                  <c:v>4.4252858045237792E-2</c:v>
                </c:pt>
                <c:pt idx="7">
                  <c:v>4.3619563018945019E-2</c:v>
                </c:pt>
                <c:pt idx="8">
                  <c:v>1.5562366561723451E-3</c:v>
                </c:pt>
                <c:pt idx="9">
                  <c:v>2.5907638258776605E-2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81-4201-8F4C-65FE0DAD4655}"/>
            </c:ext>
          </c:extLst>
        </c:ser>
        <c:ser>
          <c:idx val="5"/>
          <c:order val="6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solidFill>
              <a:schemeClr val="accent6">
                <a:alpha val="7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SUM_PGN!$O$4:$X$4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SUM_PGN!$O$11:$X$11</c:f>
              <c:numCache>
                <c:formatCode>0.0%</c:formatCode>
                <c:ptCount val="10"/>
                <c:pt idx="0">
                  <c:v>0.29912155866070606</c:v>
                </c:pt>
                <c:pt idx="1">
                  <c:v>0.11794036958886719</c:v>
                </c:pt>
                <c:pt idx="2">
                  <c:v>0.14415462396493639</c:v>
                </c:pt>
                <c:pt idx="3">
                  <c:v>0.14327004483342906</c:v>
                </c:pt>
                <c:pt idx="4">
                  <c:v>0.13518616659533264</c:v>
                </c:pt>
                <c:pt idx="5">
                  <c:v>0.13879974443266674</c:v>
                </c:pt>
                <c:pt idx="6">
                  <c:v>0.1630214930238495</c:v>
                </c:pt>
                <c:pt idx="7">
                  <c:v>0.16417107772897474</c:v>
                </c:pt>
                <c:pt idx="8">
                  <c:v>0.15062109341587124</c:v>
                </c:pt>
                <c:pt idx="9">
                  <c:v>0.1304344902429877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9576-4F80-88CE-AE36A464E6A2}"/>
            </c:ext>
          </c:extLst>
        </c:ser>
        <c:ser>
          <c:idx val="9"/>
          <c:order val="7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solidFill>
              <a:schemeClr val="accent4">
                <a:lumMod val="60000"/>
                <a:alpha val="70000"/>
              </a:schemeClr>
            </a:solidFill>
            <a:ln>
              <a:noFill/>
            </a:ln>
            <a:effectLst/>
          </c:spPr>
          <c:dLbls>
            <c:delete val="1"/>
          </c:dLbls>
          <c:val>
            <c:numRef>
              <c:f>SUM_PGN!$O$12:$X$12</c:f>
              <c:numCache>
                <c:formatCode>0.0%</c:formatCode>
                <c:ptCount val="10"/>
                <c:pt idx="0">
                  <c:v>3.503400267626612E-5</c:v>
                </c:pt>
                <c:pt idx="1">
                  <c:v>2.2290969307863106E-5</c:v>
                </c:pt>
                <c:pt idx="2">
                  <c:v>2.3308454961817387E-5</c:v>
                </c:pt>
                <c:pt idx="3">
                  <c:v>2.5818947680719139E-5</c:v>
                </c:pt>
                <c:pt idx="4">
                  <c:v>2.3862367073057239E-5</c:v>
                </c:pt>
                <c:pt idx="5">
                  <c:v>2.3631814609703394E-5</c:v>
                </c:pt>
                <c:pt idx="6">
                  <c:v>2.0864630278751461E-5</c:v>
                </c:pt>
                <c:pt idx="7">
                  <c:v>2.0754748462622529E-5</c:v>
                </c:pt>
                <c:pt idx="8">
                  <c:v>2.534428628905792E-5</c:v>
                </c:pt>
                <c:pt idx="9">
                  <c:v>2.2993148258735389E-5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81-4201-8F4C-65FE0DAD4655}"/>
            </c:ext>
          </c:extLst>
        </c:ser>
        <c:ser>
          <c:idx val="6"/>
          <c:order val="8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solidFill>
              <a:schemeClr val="accent1">
                <a:lumMod val="60000"/>
                <a:alpha val="70000"/>
              </a:schemeClr>
            </a:solidFill>
            <a:ln>
              <a:noFill/>
            </a:ln>
            <a:effectLst/>
          </c:spPr>
          <c:dLbls>
            <c:dLbl>
              <c:idx val="9"/>
              <c:layout>
                <c:manualLayout>
                  <c:x val="-3.3025966471103888E-3"/>
                  <c:y val="-3.2521965771015226E-3"/>
                </c:manualLayout>
              </c:layout>
              <c:dLblPos val="ctr"/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D0-4745-8957-956C3C2673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SUM_PGN!$O$13:$X$13</c:f>
              <c:numCache>
                <c:formatCode>0.0%</c:formatCode>
                <c:ptCount val="10"/>
                <c:pt idx="0">
                  <c:v>8.0989907512305948E-2</c:v>
                </c:pt>
                <c:pt idx="1">
                  <c:v>3.8471455379684148E-3</c:v>
                </c:pt>
                <c:pt idx="2">
                  <c:v>3.9607552900581032E-3</c:v>
                </c:pt>
                <c:pt idx="3">
                  <c:v>3.9754137897121825E-3</c:v>
                </c:pt>
                <c:pt idx="4">
                  <c:v>3.5721963508366689E-3</c:v>
                </c:pt>
                <c:pt idx="5">
                  <c:v>3.9383493220462055E-3</c:v>
                </c:pt>
                <c:pt idx="6">
                  <c:v>3.5271452931030533E-3</c:v>
                </c:pt>
                <c:pt idx="7">
                  <c:v>4.0148229599608343E-3</c:v>
                </c:pt>
                <c:pt idx="8">
                  <c:v>5.5572221589968926E-3</c:v>
                </c:pt>
                <c:pt idx="9">
                  <c:v>5.4693324546769258E-3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576-4F80-88CE-AE36A464E6A2}"/>
            </c:ext>
          </c:extLst>
        </c:ser>
        <c:ser>
          <c:idx val="7"/>
          <c:order val="9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solidFill>
              <a:schemeClr val="accent2">
                <a:lumMod val="60000"/>
                <a:alpha val="70000"/>
              </a:schemeClr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SUM_PGN!$O$14:$X$14</c:f>
              <c:numCache>
                <c:formatCode>0.0%</c:formatCode>
                <c:ptCount val="10"/>
                <c:pt idx="0">
                  <c:v>1.8789834334773734E-3</c:v>
                </c:pt>
                <c:pt idx="1">
                  <c:v>-9.1415954542968482E-4</c:v>
                </c:pt>
                <c:pt idx="2">
                  <c:v>-1.2081949644125549E-3</c:v>
                </c:pt>
                <c:pt idx="3">
                  <c:v>-1.2062142921019604E-3</c:v>
                </c:pt>
                <c:pt idx="4">
                  <c:v>-1.0898593834094508E-3</c:v>
                </c:pt>
                <c:pt idx="5">
                  <c:v>-1.0808332663765252E-3</c:v>
                </c:pt>
                <c:pt idx="6">
                  <c:v>-9.0986152431261273E-4</c:v>
                </c:pt>
                <c:pt idx="7">
                  <c:v>-9.0425590360680903E-4</c:v>
                </c:pt>
                <c:pt idx="8">
                  <c:v>-1.2304163603216677E-3</c:v>
                </c:pt>
                <c:pt idx="9">
                  <c:v>-9.6137389700674759E-4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76-4F80-88CE-AE36A464E6A2}"/>
            </c:ext>
          </c:extLst>
        </c:ser>
        <c:dLbls>
          <c:showVal val="1"/>
        </c:dLbls>
        <c:gapWidth val="50"/>
        <c:overlap val="100"/>
        <c:axId val="134902912"/>
        <c:axId val="134904448"/>
      </c:barChart>
      <c:catAx>
        <c:axId val="134902912"/>
        <c:scaling>
          <c:orientation val="minMax"/>
        </c:scaling>
        <c:axPos val="l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4904448"/>
        <c:crosses val="autoZero"/>
        <c:lblAlgn val="ctr"/>
        <c:lblOffset val="100"/>
      </c:catAx>
      <c:valAx>
        <c:axId val="134904448"/>
        <c:scaling>
          <c:orientation val="minMax"/>
          <c:min val="-5.0000000000000024E-2"/>
        </c:scaling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490291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plotArea>
      <c:layout>
        <c:manualLayout>
          <c:layoutTarget val="inner"/>
          <c:xMode val="edge"/>
          <c:yMode val="edge"/>
          <c:x val="0.1672242168101164"/>
          <c:y val="3.7333430555808782E-2"/>
          <c:w val="0.4949836817579456"/>
          <c:h val="0.86666892361698922"/>
        </c:manualLayout>
      </c:layout>
      <c:barChart>
        <c:barDir val="col"/>
        <c:grouping val="stacked"/>
        <c:ser>
          <c:idx val="0"/>
          <c:order val="0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SUM_PGN!$C$20:$L$20</c:f>
              <c:numCache>
                <c:formatCode>_-* #,##0\ _z_ł_-;\-* #,##0\ _z_ł_-;_-* "-"??\ _z_ł_-;_-@_-</c:formatCode>
                <c:ptCount val="10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>
                  <c:v>346184</c:v>
                </c:pt>
                <c:pt idx="4">
                  <c:v>376401</c:v>
                </c:pt>
                <c:pt idx="5">
                  <c:v>376381</c:v>
                </c:pt>
                <c:pt idx="6">
                  <c:v>400169</c:v>
                </c:pt>
                <c:pt idx="7">
                  <c:v>408138</c:v>
                </c:pt>
                <c:pt idx="8">
                  <c:v>393483</c:v>
                </c:pt>
                <c:pt idx="9">
                  <c:v>381248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2DD-46D7-B4B7-DA81084446E0}"/>
            </c:ext>
          </c:extLst>
        </c:ser>
        <c:ser>
          <c:idx val="1"/>
          <c:order val="1"/>
          <c:tx>
            <c:strRef>
              <c:f>SUM_PGN!$B$21</c:f>
              <c:strCache>
                <c:ptCount val="1"/>
                <c:pt idx="0">
                  <c:v>Gaz koksowniczy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SUM_PGN!$C$21:$L$21</c:f>
              <c:numCache>
                <c:formatCode>_-* #,##0\ _z_ł_-;\-* #,##0\ _z_ł_-;_-* "-"??\ _z_ł_-;_-@_-</c:formatCode>
                <c:ptCount val="10"/>
                <c:pt idx="0">
                  <c:v>14616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2DD-46D7-B4B7-DA81084446E0}"/>
            </c:ext>
          </c:extLst>
        </c:ser>
        <c:ser>
          <c:idx val="2"/>
          <c:order val="2"/>
          <c:tx>
            <c:strRef>
              <c:f>SUM_PGN!$B$22</c:f>
              <c:strCache>
                <c:ptCount val="1"/>
                <c:pt idx="0">
                  <c:v>Gaz ziemny zaazotowany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SUM_PGN!$C$22:$L$22</c:f>
              <c:numCache>
                <c:formatCode>_-* #,##0\ _z_ł_-;\-* #,##0\ _z_ł_-;_-* "-"??\ _z_ł_-;_-@_-</c:formatCode>
                <c:ptCount val="10"/>
                <c:pt idx="0">
                  <c:v>58461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12100</c:v>
                </c:pt>
                <c:pt idx="5">
                  <c:v>11124</c:v>
                </c:pt>
                <c:pt idx="6">
                  <c:v>11274</c:v>
                </c:pt>
                <c:pt idx="7">
                  <c:v>11274</c:v>
                </c:pt>
                <c:pt idx="8">
                  <c:v>492</c:v>
                </c:pt>
                <c:pt idx="9">
                  <c:v>687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2DD-46D7-B4B7-DA81084446E0}"/>
            </c:ext>
          </c:extLst>
        </c:ser>
        <c:ser>
          <c:idx val="3"/>
          <c:order val="3"/>
          <c:tx>
            <c:strRef>
              <c:f>SUM_PGN!$B$23</c:f>
              <c:strCache>
                <c:ptCount val="1"/>
                <c:pt idx="0">
                  <c:v>Gaz ciekły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SUM_PGN!$C$23:$L$23</c:f>
              <c:numCache>
                <c:formatCode>_-* #,##0\ _z_ł_-;\-* #,##0\ _z_ł_-;_-* "-"??\ _z_ł_-;_-@_-</c:formatCode>
                <c:ptCount val="10"/>
                <c:pt idx="0">
                  <c:v>0</c:v>
                </c:pt>
                <c:pt idx="1">
                  <c:v>56208</c:v>
                </c:pt>
                <c:pt idx="2">
                  <c:v>55972</c:v>
                </c:pt>
                <c:pt idx="3">
                  <c:v>59215</c:v>
                </c:pt>
                <c:pt idx="4">
                  <c:v>64094</c:v>
                </c:pt>
                <c:pt idx="5">
                  <c:v>63567</c:v>
                </c:pt>
                <c:pt idx="6">
                  <c:v>73448</c:v>
                </c:pt>
                <c:pt idx="7">
                  <c:v>72531</c:v>
                </c:pt>
                <c:pt idx="8">
                  <c:v>58207</c:v>
                </c:pt>
                <c:pt idx="9">
                  <c:v>59830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2DD-46D7-B4B7-DA81084446E0}"/>
            </c:ext>
          </c:extLst>
        </c:ser>
        <c:ser>
          <c:idx val="4"/>
          <c:order val="4"/>
          <c:tx>
            <c:strRef>
              <c:f>SUM_PGN!$B$24</c:f>
              <c:strCache>
                <c:ptCount val="1"/>
                <c:pt idx="0">
                  <c:v>Olej opałowy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SUM_PGN!$C$24:$L$24</c:f>
              <c:numCache>
                <c:formatCode>_-* #,##0\ _z_ł_-;\-* #,##0\ _z_ł_-;_-* "-"??\ _z_ł_-;_-@_-</c:formatCode>
                <c:ptCount val="10"/>
                <c:pt idx="0">
                  <c:v>0</c:v>
                </c:pt>
                <c:pt idx="1">
                  <c:v>8817</c:v>
                </c:pt>
                <c:pt idx="2">
                  <c:v>9661</c:v>
                </c:pt>
                <c:pt idx="3">
                  <c:v>9008</c:v>
                </c:pt>
                <c:pt idx="4">
                  <c:v>12367</c:v>
                </c:pt>
                <c:pt idx="5">
                  <c:v>9365</c:v>
                </c:pt>
                <c:pt idx="6">
                  <c:v>57129</c:v>
                </c:pt>
                <c:pt idx="7">
                  <c:v>56946</c:v>
                </c:pt>
                <c:pt idx="8">
                  <c:v>57577</c:v>
                </c:pt>
                <c:pt idx="9">
                  <c:v>7425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2DD-46D7-B4B7-DA81084446E0}"/>
            </c:ext>
          </c:extLst>
        </c:ser>
        <c:ser>
          <c:idx val="5"/>
          <c:order val="5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SUM_PGN!$C$25:$L$25</c:f>
              <c:numCache>
                <c:formatCode>_-* #,##0\ _z_ł_-;\-* #,##0\ _z_ł_-;_-* "-"??\ _z_ł_-;_-@_-</c:formatCode>
                <c:ptCount val="10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>
                  <c:v>554497</c:v>
                </c:pt>
                <c:pt idx="4">
                  <c:v>576536</c:v>
                </c:pt>
                <c:pt idx="5">
                  <c:v>601283</c:v>
                </c:pt>
                <c:pt idx="6">
                  <c:v>534851</c:v>
                </c:pt>
                <c:pt idx="7">
                  <c:v>546021</c:v>
                </c:pt>
                <c:pt idx="8">
                  <c:v>445320</c:v>
                </c:pt>
                <c:pt idx="9">
                  <c:v>579575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2DD-46D7-B4B7-DA81084446E0}"/>
            </c:ext>
          </c:extLst>
        </c:ser>
        <c:ser>
          <c:idx val="6"/>
          <c:order val="6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SUM_PGN!$C$26:$L$26</c:f>
              <c:numCache>
                <c:formatCode>_-* #,##0\ _z_ł_-;\-* #,##0\ _z_ł_-;_-* "-"??\ _z_ł_-;_-@_-</c:formatCode>
                <c:ptCount val="10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>
                  <c:v>410134</c:v>
                </c:pt>
                <c:pt idx="4">
                  <c:v>421963</c:v>
                </c:pt>
                <c:pt idx="5">
                  <c:v>444167</c:v>
                </c:pt>
                <c:pt idx="6">
                  <c:v>539365</c:v>
                </c:pt>
                <c:pt idx="7">
                  <c:v>560553</c:v>
                </c:pt>
                <c:pt idx="8">
                  <c:v>460204</c:v>
                </c:pt>
                <c:pt idx="9">
                  <c:v>608447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2DD-46D7-B4B7-DA81084446E0}"/>
            </c:ext>
          </c:extLst>
        </c:ser>
        <c:ser>
          <c:idx val="12"/>
          <c:order val="7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val>
            <c:numRef>
              <c:f>SUM_PGN!$C$27:$L$27</c:f>
              <c:numCache>
                <c:formatCode>_-* #,##0\ _z_ł_-;\-* #,##0\ _z_ł_-;_-* "-"??\ _z_ł_-;_-@_-</c:formatCode>
                <c:ptCount val="10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>
                  <c:v>214370</c:v>
                </c:pt>
                <c:pt idx="8">
                  <c:v>6386</c:v>
                </c:pt>
                <c:pt idx="9">
                  <c:v>119436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55-4343-9045-01248103D879}"/>
            </c:ext>
          </c:extLst>
        </c:ser>
        <c:ser>
          <c:idx val="7"/>
          <c:order val="8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SUM_PGN!$C$28:$L$28</c:f>
              <c:numCache>
                <c:formatCode>_-* #,##0\ _z_ł_-;\-* #,##0\ _z_ł_-;_-* "-"??\ _z_ł_-;_-@_-</c:formatCode>
                <c:ptCount val="10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>
                  <c:v>32153</c:v>
                </c:pt>
                <c:pt idx="4">
                  <c:v>41933</c:v>
                </c:pt>
                <c:pt idx="5">
                  <c:v>48895</c:v>
                </c:pt>
                <c:pt idx="6">
                  <c:v>140308</c:v>
                </c:pt>
                <c:pt idx="7">
                  <c:v>140308</c:v>
                </c:pt>
                <c:pt idx="8">
                  <c:v>35143</c:v>
                </c:pt>
                <c:pt idx="9">
                  <c:v>35683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42DD-46D7-B4B7-DA81084446E0}"/>
            </c:ext>
          </c:extLst>
        </c:ser>
        <c:ser>
          <c:idx val="8"/>
          <c:order val="9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SUM_PGN!$C$29:$L$29</c:f>
              <c:numCache>
                <c:formatCode>_-* #,##0\ _z_ł_-;\-* #,##0\ _z_ł_-;_-* "-"??\ _z_ł_-;_-@_-</c:formatCode>
                <c:ptCount val="10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>
                  <c:v>219519</c:v>
                </c:pt>
                <c:pt idx="4">
                  <c:v>237923</c:v>
                </c:pt>
                <c:pt idx="5">
                  <c:v>197087</c:v>
                </c:pt>
                <c:pt idx="6">
                  <c:v>176105</c:v>
                </c:pt>
                <c:pt idx="7">
                  <c:v>132022</c:v>
                </c:pt>
                <c:pt idx="8">
                  <c:v>111940</c:v>
                </c:pt>
                <c:pt idx="9">
                  <c:v>132536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42DD-46D7-B4B7-DA81084446E0}"/>
            </c:ext>
          </c:extLst>
        </c:ser>
        <c:ser>
          <c:idx val="13"/>
          <c:order val="10"/>
          <c:tx>
            <c:strRef>
              <c:f>SUM_PGN!$B$30</c:f>
              <c:strCache>
                <c:ptCount val="1"/>
                <c:pt idx="0">
                  <c:v>Drewno</c:v>
                </c:pt>
              </c:strCache>
            </c:strRef>
          </c:tx>
          <c:val>
            <c:numRef>
              <c:f>SUM_PGN!$C$30:$L$30</c:f>
              <c:numCache>
                <c:formatCode>_-* #,##0\ _z_ł_-;\-* #,##0\ _z_ł_-;_-* "-"??\ _z_ł_-;_-@_-</c:formatCode>
                <c:ptCount val="10"/>
                <c:pt idx="0">
                  <c:v>22009</c:v>
                </c:pt>
                <c:pt idx="1">
                  <c:v>15815</c:v>
                </c:pt>
                <c:pt idx="2">
                  <c:v>11178</c:v>
                </c:pt>
                <c:pt idx="3">
                  <c:v>15331</c:v>
                </c:pt>
                <c:pt idx="4">
                  <c:v>18958</c:v>
                </c:pt>
                <c:pt idx="5">
                  <c:v>13209</c:v>
                </c:pt>
                <c:pt idx="6">
                  <c:v>9618</c:v>
                </c:pt>
                <c:pt idx="7">
                  <c:v>7213</c:v>
                </c:pt>
                <c:pt idx="8">
                  <c:v>6108</c:v>
                </c:pt>
                <c:pt idx="9">
                  <c:v>7232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55-4343-9045-01248103D879}"/>
            </c:ext>
          </c:extLst>
        </c:ser>
        <c:ser>
          <c:idx val="9"/>
          <c:order val="11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SUM_PGN!$C$31:$L$31</c:f>
              <c:numCache>
                <c:formatCode>_-* #,##0\ _z_ł_-;\-* #,##0\ _z_ł_-;_-* "-"??\ _z_ł_-;_-@_-</c:formatCode>
                <c:ptCount val="10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>
                  <c:v>1783381</c:v>
                </c:pt>
                <c:pt idx="4">
                  <c:v>1822410</c:v>
                </c:pt>
                <c:pt idx="5">
                  <c:v>1877084</c:v>
                </c:pt>
                <c:pt idx="6">
                  <c:v>1933322</c:v>
                </c:pt>
                <c:pt idx="7">
                  <c:v>1975790</c:v>
                </c:pt>
                <c:pt idx="8">
                  <c:v>1700798</c:v>
                </c:pt>
                <c:pt idx="9">
                  <c:v>1774250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42DD-46D7-B4B7-DA81084446E0}"/>
            </c:ext>
          </c:extLst>
        </c:ser>
        <c:ser>
          <c:idx val="10"/>
          <c:order val="12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SUM_PGN!$C$32:$L$32</c:f>
              <c:numCache>
                <c:formatCode>_-* #,##0\ _z_ł_-;\-* #,##0\ _z_ł_-;_-* "-"??\ _z_ł_-;_-@_-</c:formatCode>
                <c:ptCount val="10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>
                  <c:v>680954</c:v>
                </c:pt>
                <c:pt idx="4">
                  <c:v>827440</c:v>
                </c:pt>
                <c:pt idx="5">
                  <c:v>811839</c:v>
                </c:pt>
                <c:pt idx="6">
                  <c:v>787850</c:v>
                </c:pt>
                <c:pt idx="7">
                  <c:v>777785</c:v>
                </c:pt>
                <c:pt idx="8">
                  <c:v>813679</c:v>
                </c:pt>
                <c:pt idx="9">
                  <c:v>886136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2DD-46D7-B4B7-DA81084446E0}"/>
            </c:ext>
          </c:extLst>
        </c:ser>
        <c:ser>
          <c:idx val="11"/>
          <c:order val="13"/>
          <c:tx>
            <c:v>Emisje bezpośrednie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val>
            <c:numRef>
              <c:f>SUM_PGN!$C$36:$L$36</c:f>
              <c:numCache>
                <c:formatCode>_-* #,##0\ _z_ł_-;\-* #,##0\ _z_ł_-;_-* "-"??\ _z_ł_-;_-@_-</c:formatCode>
                <c:ptCount val="10"/>
                <c:pt idx="0">
                  <c:v>396655</c:v>
                </c:pt>
                <c:pt idx="1">
                  <c:v>9974</c:v>
                </c:pt>
                <c:pt idx="2">
                  <c:v>7857</c:v>
                </c:pt>
                <c:pt idx="3">
                  <c:v>8255</c:v>
                </c:pt>
                <c:pt idx="4">
                  <c:v>7900</c:v>
                </c:pt>
                <c:pt idx="5">
                  <c:v>9758</c:v>
                </c:pt>
                <c:pt idx="6">
                  <c:v>11514</c:v>
                </c:pt>
                <c:pt idx="7">
                  <c:v>11587</c:v>
                </c:pt>
                <c:pt idx="8">
                  <c:v>14152</c:v>
                </c:pt>
                <c:pt idx="9">
                  <c:v>17584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42DD-46D7-B4B7-DA81084446E0}"/>
            </c:ext>
          </c:extLst>
        </c:ser>
        <c:dLbls/>
        <c:overlap val="100"/>
        <c:axId val="135060864"/>
        <c:axId val="135136768"/>
      </c:barChart>
      <c:catAx>
        <c:axId val="135060864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Rok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136768"/>
        <c:crosses val="autoZero"/>
        <c:auto val="1"/>
        <c:lblAlgn val="ctr"/>
        <c:lblOffset val="100"/>
      </c:catAx>
      <c:valAx>
        <c:axId val="13513676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Emisje Mg CO2</a:t>
                </a: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060864"/>
        <c:crosses val="autoZero"/>
        <c:crossBetween val="between"/>
        <c:dispUnits>
          <c:builtInUnit val="thousands"/>
          <c:dispUnitsLbl>
            <c:layout/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071293413904662"/>
          <c:y val="0.17485382327209101"/>
          <c:w val="0.29816546338909916"/>
          <c:h val="0.82514628194284556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SUM_PGN!$B$5</c:f>
              <c:strCache>
                <c:ptCount val="1"/>
                <c:pt idx="0">
                  <c:v>Budynki mieszkalne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SUM_PGN!$C$5:$L$5</c:f>
              <c:numCache>
                <c:formatCode>_-* #,##0\ _z_ł_-;\-* #,##0\ _z_ł_-;_-* "-"??\ _z_ł_-;_-@_-</c:formatCode>
                <c:ptCount val="10"/>
                <c:pt idx="0">
                  <c:v>1777035</c:v>
                </c:pt>
                <c:pt idx="1">
                  <c:v>1555853</c:v>
                </c:pt>
                <c:pt idx="2">
                  <c:v>1316260</c:v>
                </c:pt>
                <c:pt idx="3">
                  <c:v>1335603</c:v>
                </c:pt>
                <c:pt idx="4">
                  <c:v>1499768</c:v>
                </c:pt>
                <c:pt idx="5">
                  <c:v>1452910</c:v>
                </c:pt>
                <c:pt idx="6">
                  <c:v>1417181</c:v>
                </c:pt>
                <c:pt idx="7">
                  <c:v>1379351</c:v>
                </c:pt>
                <c:pt idx="8">
                  <c:v>1375325</c:v>
                </c:pt>
                <c:pt idx="9" formatCode="_-* #,##0.00\ _z_ł_-;\-* #,##0.00\ _z_ł_-;_-* &quot;-&quot;??\ _z_ł_-;_-@_-">
                  <c:v>1442453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BC5-4C47-AE2D-7D1B369731E7}"/>
            </c:ext>
          </c:extLst>
        </c:ser>
        <c:ser>
          <c:idx val="1"/>
          <c:order val="1"/>
          <c:tx>
            <c:strRef>
              <c:f>SUM_PGN!$B$6</c:f>
              <c:strCache>
                <c:ptCount val="1"/>
                <c:pt idx="0">
                  <c:v>Budynki instytucji, komercyjne i urządzenia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SUM_PGN!$C$6:$L$6</c:f>
              <c:numCache>
                <c:formatCode>_-* #,##0\ _z_ł_-;\-* #,##0\ _z_ł_-;_-* "-"??\ _z_ł_-;_-@_-</c:formatCode>
                <c:ptCount val="10"/>
                <c:pt idx="0">
                  <c:v>583207</c:v>
                </c:pt>
                <c:pt idx="1">
                  <c:v>1114007</c:v>
                </c:pt>
                <c:pt idx="2">
                  <c:v>1027686</c:v>
                </c:pt>
                <c:pt idx="3">
                  <c:v>1054596</c:v>
                </c:pt>
                <c:pt idx="4">
                  <c:v>1145131</c:v>
                </c:pt>
                <c:pt idx="5">
                  <c:v>1162780</c:v>
                </c:pt>
                <c:pt idx="6">
                  <c:v>1219625</c:v>
                </c:pt>
                <c:pt idx="7">
                  <c:v>1237166</c:v>
                </c:pt>
                <c:pt idx="8">
                  <c:v>1051388</c:v>
                </c:pt>
                <c:pt idx="9" formatCode="_-* #,##0.00\ _z_ł_-;\-* #,##0.00\ _z_ł_-;_-* &quot;-&quot;??\ _z_ł_-;_-@_-">
                  <c:v>1103873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BC5-4C47-AE2D-7D1B369731E7}"/>
            </c:ext>
          </c:extLst>
        </c:ser>
        <c:ser>
          <c:idx val="2"/>
          <c:order val="2"/>
          <c:tx>
            <c:strRef>
              <c:f>SUM_PGN!$B$7</c:f>
              <c:strCache>
                <c:ptCount val="1"/>
                <c:pt idx="0">
                  <c:v>Oświetlenie publiczne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SUM_PGN!$C$7:$L$7</c:f>
              <c:numCache>
                <c:formatCode>_-* #,##0\ _z_ł_-;\-* #,##0\ _z_ł_-;_-* "-"??\ _z_ł_-;_-@_-</c:formatCode>
                <c:ptCount val="10"/>
                <c:pt idx="0">
                  <c:v>46541</c:v>
                </c:pt>
                <c:pt idx="1">
                  <c:v>33413</c:v>
                </c:pt>
                <c:pt idx="2">
                  <c:v>29702</c:v>
                </c:pt>
                <c:pt idx="3">
                  <c:v>26838</c:v>
                </c:pt>
                <c:pt idx="4">
                  <c:v>24256</c:v>
                </c:pt>
                <c:pt idx="5">
                  <c:v>23418</c:v>
                </c:pt>
                <c:pt idx="6">
                  <c:v>22534</c:v>
                </c:pt>
                <c:pt idx="7">
                  <c:v>25185</c:v>
                </c:pt>
                <c:pt idx="8">
                  <c:v>21285</c:v>
                </c:pt>
                <c:pt idx="9" formatCode="_-* #,##0.00\ _z_ł_-;\-* #,##0.00\ _z_ł_-;_-* &quot;-&quot;??\ _z_ł_-;_-@_-">
                  <c:v>17895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BC5-4C47-AE2D-7D1B369731E7}"/>
            </c:ext>
          </c:extLst>
        </c:ser>
        <c:ser>
          <c:idx val="3"/>
          <c:order val="3"/>
          <c:tx>
            <c:strRef>
              <c:f>SUM_PGN!$B$11</c:f>
              <c:strCache>
                <c:ptCount val="1"/>
                <c:pt idx="0">
                  <c:v>Przemysł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SUM_PGN!$C$11:$L$11</c:f>
              <c:numCache>
                <c:formatCode>_-* #,##0\ _z_ł_-;\-* #,##0\ _z_ł_-;_-* "-"??\ _z_ł_-;_-@_-</c:formatCode>
                <c:ptCount val="10"/>
                <c:pt idx="0">
                  <c:v>1442928</c:v>
                </c:pt>
                <c:pt idx="1">
                  <c:v>513222</c:v>
                </c:pt>
                <c:pt idx="2">
                  <c:v>599911</c:v>
                </c:pt>
                <c:pt idx="3">
                  <c:v>610393</c:v>
                </c:pt>
                <c:pt idx="4">
                  <c:v>623177</c:v>
                </c:pt>
                <c:pt idx="5">
                  <c:v>646077</c:v>
                </c:pt>
                <c:pt idx="6">
                  <c:v>796956</c:v>
                </c:pt>
                <c:pt idx="7">
                  <c:v>806825</c:v>
                </c:pt>
                <c:pt idx="8">
                  <c:v>618072</c:v>
                </c:pt>
                <c:pt idx="9" formatCode="_-* #,##0.00\ _z_ł_-;\-* #,##0.00\ _z_ł_-;_-* &quot;-&quot;??\ _z_ł_-;_-@_-">
                  <c:v>601312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BC5-4C47-AE2D-7D1B369731E7}"/>
            </c:ext>
          </c:extLst>
        </c:ser>
        <c:ser>
          <c:idx val="4"/>
          <c:order val="4"/>
          <c:tx>
            <c:strRef>
              <c:f>SUM_PGN!$B$12</c:f>
              <c:strCache>
                <c:ptCount val="1"/>
                <c:pt idx="0">
                  <c:v>System dystrybucji gazu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SUM_PGN!$C$12:$L$12</c:f>
              <c:numCache>
                <c:formatCode>_-* #,##0\ _z_ł_-;\-* #,##0\ _z_ł_-;_-* "-"??\ _z_ł_-;_-@_-</c:formatCode>
                <c:ptCount val="10"/>
                <c:pt idx="0">
                  <c:v>169</c:v>
                </c:pt>
                <c:pt idx="1">
                  <c:v>97</c:v>
                </c:pt>
                <c:pt idx="2">
                  <c:v>97</c:v>
                </c:pt>
                <c:pt idx="3">
                  <c:v>110</c:v>
                </c:pt>
                <c:pt idx="4">
                  <c:v>110</c:v>
                </c:pt>
                <c:pt idx="5">
                  <c:v>110</c:v>
                </c:pt>
                <c:pt idx="6">
                  <c:v>102</c:v>
                </c:pt>
                <c:pt idx="7">
                  <c:v>102</c:v>
                </c:pt>
                <c:pt idx="8">
                  <c:v>104</c:v>
                </c:pt>
                <c:pt idx="9" formatCode="_-* #,##0.00\ _z_ł_-;\-* #,##0.00\ _z_ł_-;_-* &quot;-&quot;??\ _z_ł_-;_-@_-">
                  <c:v>106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BC5-4C47-AE2D-7D1B369731E7}"/>
            </c:ext>
          </c:extLst>
        </c:ser>
        <c:dLbls/>
        <c:marker val="1"/>
        <c:axId val="135194112"/>
        <c:axId val="135195648"/>
      </c:lineChart>
      <c:catAx>
        <c:axId val="13519411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195648"/>
        <c:crosses val="autoZero"/>
        <c:auto val="1"/>
        <c:lblAlgn val="ctr"/>
        <c:lblOffset val="100"/>
      </c:catAx>
      <c:valAx>
        <c:axId val="13519564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19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SUM_PGN!$B$8</c:f>
              <c:strCache>
                <c:ptCount val="1"/>
                <c:pt idx="0">
                  <c:v>Transport drogowy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SUM_PGN!$C$8:$L$8</c:f>
              <c:numCache>
                <c:formatCode>_-* #,##0\ _z_ł_-;\-* #,##0\ _z_ł_-;_-* "-"??\ _z_ł_-;_-@_-</c:formatCode>
                <c:ptCount val="10"/>
                <c:pt idx="0">
                  <c:v>455476</c:v>
                </c:pt>
                <c:pt idx="1">
                  <c:v>941650</c:v>
                </c:pt>
                <c:pt idx="2">
                  <c:v>981307</c:v>
                </c:pt>
                <c:pt idx="3">
                  <c:v>1014791</c:v>
                </c:pt>
                <c:pt idx="4">
                  <c:v>1051632</c:v>
                </c:pt>
                <c:pt idx="5">
                  <c:v>1099967</c:v>
                </c:pt>
                <c:pt idx="6">
                  <c:v>1139908</c:v>
                </c:pt>
                <c:pt idx="7">
                  <c:v>1172607</c:v>
                </c:pt>
                <c:pt idx="8">
                  <c:v>953296</c:v>
                </c:pt>
                <c:pt idx="9" formatCode="_-* #,##0.00\ _z_ł_-;\-* #,##0.00\ _z_ł_-;_-* &quot;-&quot;??\ _z_ł_-;_-@_-">
                  <c:v>1245368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3A-4F20-A205-DD1DC79719F4}"/>
            </c:ext>
          </c:extLst>
        </c:ser>
        <c:ser>
          <c:idx val="1"/>
          <c:order val="1"/>
          <c:tx>
            <c:strRef>
              <c:f>SUM_PGN!$B$9</c:f>
              <c:strCache>
                <c:ptCount val="1"/>
                <c:pt idx="0">
                  <c:v>Transport szynowy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SUM_PGN!$C$9:$L$9</c:f>
              <c:numCache>
                <c:formatCode>_-* #,##0\ _z_ł_-;\-* #,##0\ _z_ł_-;_-* "-"??\ _z_ł_-;_-@_-</c:formatCode>
                <c:ptCount val="10"/>
                <c:pt idx="0">
                  <c:v>118779</c:v>
                </c:pt>
                <c:pt idx="1">
                  <c:v>66053</c:v>
                </c:pt>
                <c:pt idx="2">
                  <c:v>66725</c:v>
                </c:pt>
                <c:pt idx="3">
                  <c:v>64502</c:v>
                </c:pt>
                <c:pt idx="4">
                  <c:v>64508</c:v>
                </c:pt>
                <c:pt idx="5">
                  <c:v>65196</c:v>
                </c:pt>
                <c:pt idx="6">
                  <c:v>63433</c:v>
                </c:pt>
                <c:pt idx="7">
                  <c:v>63645</c:v>
                </c:pt>
                <c:pt idx="8">
                  <c:v>59878</c:v>
                </c:pt>
                <c:pt idx="9" formatCode="_-* #,##0.00\ _z_ł_-;\-* #,##0.00\ _z_ł_-;_-* &quot;-&quot;??\ _z_ł_-;_-@_-">
                  <c:v>58844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C3A-4F20-A205-DD1DC79719F4}"/>
            </c:ext>
          </c:extLst>
        </c:ser>
        <c:ser>
          <c:idx val="2"/>
          <c:order val="2"/>
          <c:tx>
            <c:strRef>
              <c:f>SUM_PGN!$B$10</c:f>
              <c:strCache>
                <c:ptCount val="1"/>
                <c:pt idx="0">
                  <c:v>Transport lotniczy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SUM_PGN!$C$10:$L$10</c:f>
              <c:numCache>
                <c:formatCode>_-* #,##0\ _z_ł_-;\-* #,##0\ _z_ł_-;_-* "-"??\ _z_ł_-;_-@_-</c:formatCode>
                <c:ptCount val="10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>
                  <c:v>214370</c:v>
                </c:pt>
                <c:pt idx="8">
                  <c:v>6386</c:v>
                </c:pt>
                <c:pt idx="9" formatCode="_-* #,##0.00\ _z_ł_-;\-* #,##0.00\ _z_ł_-;_-* &quot;-&quot;??\ _z_ł_-;_-@_-">
                  <c:v>119436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C3A-4F20-A205-DD1DC79719F4}"/>
            </c:ext>
          </c:extLst>
        </c:ser>
        <c:dLbls/>
        <c:marker val="1"/>
        <c:axId val="135441024"/>
        <c:axId val="135459200"/>
      </c:lineChart>
      <c:catAx>
        <c:axId val="13544102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59200"/>
        <c:crosses val="autoZero"/>
        <c:auto val="1"/>
        <c:lblAlgn val="ctr"/>
        <c:lblOffset val="100"/>
      </c:catAx>
      <c:valAx>
        <c:axId val="13545920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41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SUM_PGN!$B$13</c:f>
              <c:strCache>
                <c:ptCount val="1"/>
                <c:pt idx="0">
                  <c:v>Gospodarka odpadami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SUM_PGN!$C$13:$L$13</c:f>
              <c:numCache>
                <c:formatCode>_-* #,##0\ _z_ł_-;\-* #,##0\ _z_ł_-;_-* "-"??\ _z_ł_-;_-@_-</c:formatCode>
                <c:ptCount val="10"/>
                <c:pt idx="0">
                  <c:v>390686</c:v>
                </c:pt>
                <c:pt idx="1">
                  <c:v>16741</c:v>
                </c:pt>
                <c:pt idx="2">
                  <c:v>16483</c:v>
                </c:pt>
                <c:pt idx="3">
                  <c:v>16937</c:v>
                </c:pt>
                <c:pt idx="4">
                  <c:v>16467</c:v>
                </c:pt>
                <c:pt idx="5">
                  <c:v>18332</c:v>
                </c:pt>
                <c:pt idx="6">
                  <c:v>19662</c:v>
                </c:pt>
                <c:pt idx="7">
                  <c:v>19731</c:v>
                </c:pt>
                <c:pt idx="8">
                  <c:v>22804</c:v>
                </c:pt>
                <c:pt idx="9" formatCode="_-* #,##0.00\ _z_ł_-;\-* #,##0.00\ _z_ł_-;_-* &quot;-&quot;??\ _z_ł_-;_-@_-">
                  <c:v>25214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DBC-4E11-855D-2C9548FA5C9A}"/>
            </c:ext>
          </c:extLst>
        </c:ser>
        <c:dLbls/>
        <c:marker val="1"/>
        <c:axId val="135484160"/>
        <c:axId val="135485696"/>
      </c:lineChart>
      <c:catAx>
        <c:axId val="135484160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85696"/>
        <c:crosses val="autoZero"/>
        <c:auto val="1"/>
        <c:lblAlgn val="ctr"/>
        <c:lblOffset val="100"/>
      </c:catAx>
      <c:valAx>
        <c:axId val="135485696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484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SUM_PGN!$B$14</c:f>
              <c:strCache>
                <c:ptCount val="1"/>
                <c:pt idx="0">
                  <c:v>AFOLU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SUM_PGN!$C$4:$L$4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SUM_PGN!$C$14:$L$14</c:f>
              <c:numCache>
                <c:formatCode>_-* #,##0\ _z_ł_-;\-* #,##0\ _z_ł_-;_-* "-"??\ _z_ł_-;_-@_-</c:formatCode>
                <c:ptCount val="10"/>
                <c:pt idx="0">
                  <c:v>9064</c:v>
                </c:pt>
                <c:pt idx="1">
                  <c:v>-3978</c:v>
                </c:pt>
                <c:pt idx="2">
                  <c:v>-5028</c:v>
                </c:pt>
                <c:pt idx="3">
                  <c:v>-5139</c:v>
                </c:pt>
                <c:pt idx="4">
                  <c:v>-5024</c:v>
                </c:pt>
                <c:pt idx="5">
                  <c:v>-5031</c:v>
                </c:pt>
                <c:pt idx="6">
                  <c:v>-4448</c:v>
                </c:pt>
                <c:pt idx="7">
                  <c:v>-4444</c:v>
                </c:pt>
                <c:pt idx="8">
                  <c:v>-5049</c:v>
                </c:pt>
                <c:pt idx="9" formatCode="_-* #,##0.00\ _z_ł_-;\-* #,##0.00\ _z_ł_-;_-* &quot;-&quot;??\ _z_ł_-;_-@_-">
                  <c:v>-4432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3B4-4D35-B96E-21DB5E8862EC}"/>
            </c:ext>
          </c:extLst>
        </c:ser>
        <c:dLbls/>
        <c:marker val="1"/>
        <c:axId val="135597056"/>
        <c:axId val="135619328"/>
      </c:lineChart>
      <c:catAx>
        <c:axId val="13559705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619328"/>
        <c:crosses val="autoZero"/>
        <c:auto val="1"/>
        <c:lblAlgn val="ctr"/>
        <c:lblOffset val="100"/>
      </c:catAx>
      <c:valAx>
        <c:axId val="1356193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59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SUM_PGN!$B$28</c:f>
              <c:strCache>
                <c:ptCount val="1"/>
                <c:pt idx="0">
                  <c:v>Węgiel kamienny - energetyczny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SUM_PGN!$C$28:$L$28</c:f>
              <c:numCache>
                <c:formatCode>_-* #,##0\ _z_ł_-;\-* #,##0\ _z_ł_-;_-* "-"??\ _z_ł_-;_-@_-</c:formatCode>
                <c:ptCount val="10"/>
                <c:pt idx="0">
                  <c:v>226256</c:v>
                </c:pt>
                <c:pt idx="1">
                  <c:v>33579</c:v>
                </c:pt>
                <c:pt idx="2">
                  <c:v>33261</c:v>
                </c:pt>
                <c:pt idx="3">
                  <c:v>32153</c:v>
                </c:pt>
                <c:pt idx="4">
                  <c:v>41933</c:v>
                </c:pt>
                <c:pt idx="5">
                  <c:v>48895</c:v>
                </c:pt>
                <c:pt idx="6">
                  <c:v>140308</c:v>
                </c:pt>
                <c:pt idx="7">
                  <c:v>140308</c:v>
                </c:pt>
                <c:pt idx="8">
                  <c:v>35143</c:v>
                </c:pt>
                <c:pt idx="9">
                  <c:v>35683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23-4D87-A20F-6520F5A8CFF5}"/>
            </c:ext>
          </c:extLst>
        </c:ser>
        <c:ser>
          <c:idx val="1"/>
          <c:order val="1"/>
          <c:tx>
            <c:strRef>
              <c:f>SUM_PGN!$B$29</c:f>
              <c:strCache>
                <c:ptCount val="1"/>
                <c:pt idx="0">
                  <c:v>Węgiel kamienny - inne rodzaje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SUM_PGN!$C$29:$L$29</c:f>
              <c:numCache>
                <c:formatCode>_-* #,##0\ _z_ł_-;\-* #,##0\ _z_ł_-;_-* "-"??\ _z_ł_-;_-@_-</c:formatCode>
                <c:ptCount val="10"/>
                <c:pt idx="0">
                  <c:v>561871</c:v>
                </c:pt>
                <c:pt idx="1">
                  <c:v>270881</c:v>
                </c:pt>
                <c:pt idx="2">
                  <c:v>224563</c:v>
                </c:pt>
                <c:pt idx="3">
                  <c:v>219519</c:v>
                </c:pt>
                <c:pt idx="4">
                  <c:v>237923</c:v>
                </c:pt>
                <c:pt idx="5">
                  <c:v>197087</c:v>
                </c:pt>
                <c:pt idx="6">
                  <c:v>176105</c:v>
                </c:pt>
                <c:pt idx="7">
                  <c:v>132022</c:v>
                </c:pt>
                <c:pt idx="8">
                  <c:v>111940</c:v>
                </c:pt>
                <c:pt idx="9">
                  <c:v>132536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3-4D87-A20F-6520F5A8CFF5}"/>
            </c:ext>
          </c:extLst>
        </c:ser>
        <c:ser>
          <c:idx val="2"/>
          <c:order val="2"/>
          <c:tx>
            <c:strRef>
              <c:f>SUM_PGN!$B$20</c:f>
              <c:strCache>
                <c:ptCount val="1"/>
                <c:pt idx="0">
                  <c:v>Gaz ziemny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SUM_PGN!$C$20:$L$20</c:f>
              <c:numCache>
                <c:formatCode>_-* #,##0\ _z_ł_-;\-* #,##0\ _z_ł_-;_-* "-"??\ _z_ł_-;_-@_-</c:formatCode>
                <c:ptCount val="10"/>
                <c:pt idx="0">
                  <c:v>183951</c:v>
                </c:pt>
                <c:pt idx="1">
                  <c:v>394350</c:v>
                </c:pt>
                <c:pt idx="2">
                  <c:v>348252</c:v>
                </c:pt>
                <c:pt idx="3">
                  <c:v>346184</c:v>
                </c:pt>
                <c:pt idx="4">
                  <c:v>376401</c:v>
                </c:pt>
                <c:pt idx="5">
                  <c:v>376381</c:v>
                </c:pt>
                <c:pt idx="6">
                  <c:v>400169</c:v>
                </c:pt>
                <c:pt idx="7">
                  <c:v>408138</c:v>
                </c:pt>
                <c:pt idx="8">
                  <c:v>393483</c:v>
                </c:pt>
                <c:pt idx="9">
                  <c:v>381248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823-4D87-A20F-6520F5A8CFF5}"/>
            </c:ext>
          </c:extLst>
        </c:ser>
        <c:ser>
          <c:idx val="3"/>
          <c:order val="3"/>
          <c:tx>
            <c:strRef>
              <c:f>SUM_PGN!$B$31</c:f>
              <c:strCache>
                <c:ptCount val="1"/>
                <c:pt idx="0">
                  <c:v>Energia elektryczna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SUM_PGN!$C$31:$L$31</c:f>
              <c:numCache>
                <c:formatCode>_-* #,##0\ _z_ł_-;\-* #,##0\ _z_ł_-;_-* "-"??\ _z_ł_-;_-@_-</c:formatCode>
                <c:ptCount val="10"/>
                <c:pt idx="0">
                  <c:v>1579399</c:v>
                </c:pt>
                <c:pt idx="1">
                  <c:v>1768917</c:v>
                </c:pt>
                <c:pt idx="2">
                  <c:v>1756244</c:v>
                </c:pt>
                <c:pt idx="3">
                  <c:v>1783381</c:v>
                </c:pt>
                <c:pt idx="4">
                  <c:v>1822410</c:v>
                </c:pt>
                <c:pt idx="5">
                  <c:v>1877084</c:v>
                </c:pt>
                <c:pt idx="6">
                  <c:v>1933322</c:v>
                </c:pt>
                <c:pt idx="7">
                  <c:v>1975790</c:v>
                </c:pt>
                <c:pt idx="8">
                  <c:v>1700798</c:v>
                </c:pt>
                <c:pt idx="9">
                  <c:v>1774250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823-4D87-A20F-6520F5A8CFF5}"/>
            </c:ext>
          </c:extLst>
        </c:ser>
        <c:ser>
          <c:idx val="4"/>
          <c:order val="4"/>
          <c:tx>
            <c:strRef>
              <c:f>SUM_PGN!$B$32</c:f>
              <c:strCache>
                <c:ptCount val="1"/>
                <c:pt idx="0">
                  <c:v>Ciepło sieciowe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SUM_PGN!$C$32:$L$32</c:f>
              <c:numCache>
                <c:formatCode>_-* #,##0\ _z_ł_-;\-* #,##0\ _z_ł_-;_-* "-"??\ _z_ł_-;_-@_-</c:formatCode>
                <c:ptCount val="10"/>
                <c:pt idx="0">
                  <c:v>1320000</c:v>
                </c:pt>
                <c:pt idx="1">
                  <c:v>782491</c:v>
                </c:pt>
                <c:pt idx="2">
                  <c:v>652343</c:v>
                </c:pt>
                <c:pt idx="3">
                  <c:v>680954</c:v>
                </c:pt>
                <c:pt idx="4">
                  <c:v>827440</c:v>
                </c:pt>
                <c:pt idx="5">
                  <c:v>811839</c:v>
                </c:pt>
                <c:pt idx="6">
                  <c:v>787850</c:v>
                </c:pt>
                <c:pt idx="7">
                  <c:v>777785</c:v>
                </c:pt>
                <c:pt idx="8">
                  <c:v>813679</c:v>
                </c:pt>
                <c:pt idx="9">
                  <c:v>886136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7823-4D87-A20F-6520F5A8CFF5}"/>
            </c:ext>
          </c:extLst>
        </c:ser>
        <c:dLbls/>
        <c:marker val="1"/>
        <c:axId val="135688192"/>
        <c:axId val="135689728"/>
      </c:lineChart>
      <c:catAx>
        <c:axId val="135688192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689728"/>
        <c:crosses val="autoZero"/>
        <c:auto val="1"/>
        <c:lblAlgn val="ctr"/>
        <c:lblOffset val="100"/>
      </c:catAx>
      <c:valAx>
        <c:axId val="13568972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688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chart>
    <c:autoTitleDeleted val="1"/>
    <c:plotArea>
      <c:layout/>
      <c:lineChart>
        <c:grouping val="standard"/>
        <c:ser>
          <c:idx val="0"/>
          <c:order val="0"/>
          <c:tx>
            <c:strRef>
              <c:f>SUM_PGN!$B$25</c:f>
              <c:strCache>
                <c:ptCount val="1"/>
                <c:pt idx="0">
                  <c:v>Olej napędowy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SUM_PGN!$C$25:$L$25</c:f>
              <c:numCache>
                <c:formatCode>_-* #,##0\ _z_ł_-;\-* #,##0\ _z_ł_-;_-* "-"??\ _z_ł_-;_-@_-</c:formatCode>
                <c:ptCount val="10"/>
                <c:pt idx="0">
                  <c:v>168662</c:v>
                </c:pt>
                <c:pt idx="1">
                  <c:v>511866</c:v>
                </c:pt>
                <c:pt idx="2">
                  <c:v>531282</c:v>
                </c:pt>
                <c:pt idx="3">
                  <c:v>554497</c:v>
                </c:pt>
                <c:pt idx="4">
                  <c:v>576536</c:v>
                </c:pt>
                <c:pt idx="5">
                  <c:v>601283</c:v>
                </c:pt>
                <c:pt idx="6">
                  <c:v>534851</c:v>
                </c:pt>
                <c:pt idx="7">
                  <c:v>546021</c:v>
                </c:pt>
                <c:pt idx="8">
                  <c:v>445320</c:v>
                </c:pt>
                <c:pt idx="9">
                  <c:v>579575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103-4256-9F90-BEDFDEA605C2}"/>
            </c:ext>
          </c:extLst>
        </c:ser>
        <c:ser>
          <c:idx val="1"/>
          <c:order val="1"/>
          <c:tx>
            <c:strRef>
              <c:f>SUM_PGN!$B$26</c:f>
              <c:strCache>
                <c:ptCount val="1"/>
                <c:pt idx="0">
                  <c:v>Benzyna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SUM_PGN!$C$26:$L$26</c:f>
              <c:numCache>
                <c:formatCode>_-* #,##0\ _z_ł_-;\-* #,##0\ _z_ł_-;_-* "-"??\ _z_ł_-;_-@_-</c:formatCode>
                <c:ptCount val="10"/>
                <c:pt idx="0">
                  <c:v>292005</c:v>
                </c:pt>
                <c:pt idx="1">
                  <c:v>384160</c:v>
                </c:pt>
                <c:pt idx="2">
                  <c:v>402530</c:v>
                </c:pt>
                <c:pt idx="3">
                  <c:v>410134</c:v>
                </c:pt>
                <c:pt idx="4">
                  <c:v>421963</c:v>
                </c:pt>
                <c:pt idx="5">
                  <c:v>444167</c:v>
                </c:pt>
                <c:pt idx="6">
                  <c:v>539365</c:v>
                </c:pt>
                <c:pt idx="7">
                  <c:v>560553</c:v>
                </c:pt>
                <c:pt idx="8">
                  <c:v>460204</c:v>
                </c:pt>
                <c:pt idx="9">
                  <c:v>608447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103-4256-9F90-BEDFDEA605C2}"/>
            </c:ext>
          </c:extLst>
        </c:ser>
        <c:ser>
          <c:idx val="2"/>
          <c:order val="2"/>
          <c:tx>
            <c:strRef>
              <c:f>SUM_PGN!$B$27</c:f>
              <c:strCache>
                <c:ptCount val="1"/>
                <c:pt idx="0">
                  <c:v>Paliwo lotnicze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SUM_PGN!$C$19:$L$19</c:f>
              <c:numCache>
                <c:formatCode>General</c:formatCode>
                <c:ptCount val="10"/>
                <c:pt idx="0">
                  <c:v>1990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SUM_PGN!$C$27:$L$27</c:f>
              <c:numCache>
                <c:formatCode>_-* #,##0\ _z_ł_-;\-* #,##0\ _z_ł_-;_-* "-"??\ _z_ł_-;_-@_-</c:formatCode>
                <c:ptCount val="10"/>
                <c:pt idx="0">
                  <c:v>0</c:v>
                </c:pt>
                <c:pt idx="1">
                  <c:v>114480</c:v>
                </c:pt>
                <c:pt idx="2">
                  <c:v>128437</c:v>
                </c:pt>
                <c:pt idx="3">
                  <c:v>141806</c:v>
                </c:pt>
                <c:pt idx="4">
                  <c:v>189744</c:v>
                </c:pt>
                <c:pt idx="5">
                  <c:v>190983</c:v>
                </c:pt>
                <c:pt idx="6">
                  <c:v>216337</c:v>
                </c:pt>
                <c:pt idx="7">
                  <c:v>214370</c:v>
                </c:pt>
                <c:pt idx="8">
                  <c:v>6386</c:v>
                </c:pt>
                <c:pt idx="9">
                  <c:v>119436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103-4256-9F90-BEDFDEA605C2}"/>
            </c:ext>
          </c:extLst>
        </c:ser>
        <c:dLbls/>
        <c:marker val="1"/>
        <c:axId val="135775744"/>
        <c:axId val="135777280"/>
      </c:lineChart>
      <c:catAx>
        <c:axId val="13577574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777280"/>
        <c:crosses val="autoZero"/>
        <c:auto val="1"/>
        <c:lblAlgn val="ctr"/>
        <c:lblOffset val="100"/>
      </c:catAx>
      <c:valAx>
        <c:axId val="135777280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baseline="0"/>
                  <a:t>Emisja GHG [Mg CO</a:t>
                </a:r>
                <a:r>
                  <a:rPr lang="pl-PL" sz="1000" b="0" i="0" baseline="-25000"/>
                  <a:t>2</a:t>
                </a:r>
                <a:r>
                  <a:rPr lang="pl-PL" sz="1000" b="0" i="0" baseline="0"/>
                  <a:t>e]</a:t>
                </a:r>
                <a:endParaRPr lang="pl-PL" sz="1000"/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_-* #,##0\ _z_ł_-;\-* #,##0\ _z_ł_-;_-* &quot;-&quot;??\ _z_ł_-;_-@_-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3577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409575</xdr:colOff>
      <xdr:row>1</xdr:row>
      <xdr:rowOff>0</xdr:rowOff>
    </xdr:from>
    <xdr:to>
      <xdr:col>32</xdr:col>
      <xdr:colOff>361950</xdr:colOff>
      <xdr:row>22</xdr:row>
      <xdr:rowOff>161925</xdr:rowOff>
    </xdr:to>
    <xdr:graphicFrame macro="">
      <xdr:nvGraphicFramePr>
        <xdr:cNvPr id="9221" name="Wykres 1">
          <a:extLst>
            <a:ext uri="{FF2B5EF4-FFF2-40B4-BE49-F238E27FC236}">
              <a16:creationId xmlns:a16="http://schemas.microsoft.com/office/drawing/2014/main" xmlns="" id="{00000000-0008-0000-0600-000005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9525</xdr:colOff>
      <xdr:row>0</xdr:row>
      <xdr:rowOff>142874</xdr:rowOff>
    </xdr:from>
    <xdr:to>
      <xdr:col>44</xdr:col>
      <xdr:colOff>552450</xdr:colOff>
      <xdr:row>21</xdr:row>
      <xdr:rowOff>169332</xdr:rowOff>
    </xdr:to>
    <xdr:graphicFrame macro="">
      <xdr:nvGraphicFramePr>
        <xdr:cNvPr id="9222" name="Wykres 4">
          <a:extLst>
            <a:ext uri="{FF2B5EF4-FFF2-40B4-BE49-F238E27FC236}">
              <a16:creationId xmlns:a16="http://schemas.microsoft.com/office/drawing/2014/main" xmlns="" id="{00000000-0008-0000-0600-00000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495300</xdr:colOff>
      <xdr:row>24</xdr:row>
      <xdr:rowOff>9525</xdr:rowOff>
    </xdr:from>
    <xdr:to>
      <xdr:col>32</xdr:col>
      <xdr:colOff>352425</xdr:colOff>
      <xdr:row>42</xdr:row>
      <xdr:rowOff>158750</xdr:rowOff>
    </xdr:to>
    <xdr:graphicFrame macro="">
      <xdr:nvGraphicFramePr>
        <xdr:cNvPr id="9224" name="Wykres 7">
          <a:extLst>
            <a:ext uri="{FF2B5EF4-FFF2-40B4-BE49-F238E27FC236}">
              <a16:creationId xmlns:a16="http://schemas.microsoft.com/office/drawing/2014/main" xmlns="" id="{00000000-0008-0000-0600-000008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614891</xdr:colOff>
      <xdr:row>42</xdr:row>
      <xdr:rowOff>62441</xdr:rowOff>
    </xdr:from>
    <xdr:to>
      <xdr:col>14</xdr:col>
      <xdr:colOff>508000</xdr:colOff>
      <xdr:row>56</xdr:row>
      <xdr:rowOff>138641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F14C5445-E91B-43B9-9F12-6D9B8ED21C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613833</xdr:colOff>
      <xdr:row>60</xdr:row>
      <xdr:rowOff>30691</xdr:rowOff>
    </xdr:from>
    <xdr:to>
      <xdr:col>15</xdr:col>
      <xdr:colOff>31750</xdr:colOff>
      <xdr:row>74</xdr:row>
      <xdr:rowOff>106891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1731D107-521D-4FCF-8434-B07BC6C888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1206498</xdr:colOff>
      <xdr:row>75</xdr:row>
      <xdr:rowOff>168273</xdr:rowOff>
    </xdr:from>
    <xdr:to>
      <xdr:col>14</xdr:col>
      <xdr:colOff>412749</xdr:colOff>
      <xdr:row>90</xdr:row>
      <xdr:rowOff>116416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xmlns="" id="{2B1C62CA-7C86-4280-851D-4E98D52649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941916</xdr:colOff>
      <xdr:row>90</xdr:row>
      <xdr:rowOff>178858</xdr:rowOff>
    </xdr:from>
    <xdr:to>
      <xdr:col>15</xdr:col>
      <xdr:colOff>296332</xdr:colOff>
      <xdr:row>105</xdr:row>
      <xdr:rowOff>64558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xmlns="" id="{D0A2E4CF-BC53-464B-AB54-E67B25C72E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560916</xdr:colOff>
      <xdr:row>44</xdr:row>
      <xdr:rowOff>62442</xdr:rowOff>
    </xdr:from>
    <xdr:to>
      <xdr:col>31</xdr:col>
      <xdr:colOff>349250</xdr:colOff>
      <xdr:row>65</xdr:row>
      <xdr:rowOff>10583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xmlns="" id="{8AAC0DCF-F100-4592-A1DA-F8436C25D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370415</xdr:colOff>
      <xdr:row>65</xdr:row>
      <xdr:rowOff>94191</xdr:rowOff>
    </xdr:from>
    <xdr:to>
      <xdr:col>31</xdr:col>
      <xdr:colOff>84666</xdr:colOff>
      <xdr:row>86</xdr:row>
      <xdr:rowOff>52916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xmlns="" id="{2E9CBF97-CABE-495B-8F13-6A9DBBC5DC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31750</xdr:colOff>
      <xdr:row>126</xdr:row>
      <xdr:rowOff>157691</xdr:rowOff>
    </xdr:from>
    <xdr:to>
      <xdr:col>14</xdr:col>
      <xdr:colOff>31750</xdr:colOff>
      <xdr:row>150</xdr:row>
      <xdr:rowOff>116417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xmlns="" id="{DB3DB75A-52D2-4C46-97A6-DFF35F7999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IETNIK%20400B/Documents/@PROJEKTY/Bydgoszcz%20SEAP%202012/3.%20SEAP&amp;POKASZK/aktualizacja%20zadan/Zadania_POKASZK_wszystko_AKTUALIZACJ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ek/Dropbox/WORK/UM%20Wroc/obliczenia/Emisje%20Wroc&#322;aw%202013%20CDP%20Lisboa%20(korekta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mek/Dropbox/WORK/UM%20Wroc/obliczenia/Emisje%20Wroclaw%20199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LAKS/2_inwentaryzacja/LAKS%20INVENTORY%20TOOL%20-%20arkusze/arkusze_dla_klienta/LAKS_Inventory_Tool_Poland_XLS_V1_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30/OneDrive%20&#8212;%20Consus%20Carbon%20Engineering%20Sp.%20z%20o.o-/PGN%20WrOF/Zanieczyszczenia%20do%20powietrza/kalkulator%20efekt&#243;w%20redukcji%20emisji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szysztkie"/>
      <sheetName val="finanse"/>
    </sheetNames>
    <sheetDataSet>
      <sheetData sheetId="0"/>
      <sheetData sheetId="1">
        <row r="1">
          <cell r="A1" t="str">
            <v xml:space="preserve">Budżet Miasta Bydgoszcz </v>
          </cell>
        </row>
        <row r="2">
          <cell r="A2" t="str">
            <v>System białych certyfikatów</v>
          </cell>
        </row>
        <row r="3">
          <cell r="A3" t="str">
            <v>System Zielonych Inwestycji – program priorytetowy „Zarządzanie energią w budynkach użyteczności publicznej”</v>
          </cell>
        </row>
        <row r="4">
          <cell r="A4" t="str">
            <v>System Zielonych Inwestycji – program priorytetowy „Elektorciepłownie i ciepłownie na biomasę”</v>
          </cell>
        </row>
        <row r="5">
          <cell r="A5" t="str">
            <v>Wojewódzki Fundusz Ochrony Środowiska i Gospodarki Wodnej w Toruniu – konkurs OZE</v>
          </cell>
        </row>
        <row r="6">
          <cell r="A6" t="str">
            <v>Fundusz Remontów i Termomodernizacji BGK</v>
          </cell>
        </row>
        <row r="7">
          <cell r="A7" t="str">
            <v>Bank BOŚ – „Kredyt z Klimatem”: Program Efektywności Energetycznej w Budynkach</v>
          </cell>
        </row>
        <row r="8">
          <cell r="A8" t="str">
            <v>Bank BOŚ – „Kredyt z Klimatem”: Program Modernizacji Kotłów</v>
          </cell>
        </row>
        <row r="9">
          <cell r="A9" t="str">
            <v>Norweski Mechanizm Finansowy i Mechanizm Finansowy Europejskiego Obszaru Gospodarczego – obszar programowy C „Efektywność energetyczna i odnawialne źródła energii”</v>
          </cell>
        </row>
        <row r="10">
          <cell r="A10" t="str">
            <v>Program LIFE+</v>
          </cell>
        </row>
        <row r="11">
          <cell r="A11" t="str">
            <v>Inne fundusze zewnętrzne</v>
          </cell>
        </row>
        <row r="12">
          <cell r="A12" t="str">
            <v>Inwestorzy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ist"/>
      <sheetName val="SUM_CDP"/>
      <sheetName val="BAU"/>
      <sheetName val="SUM_SEAP"/>
      <sheetName val="Rap_GCP"/>
      <sheetName val="Rap_EM"/>
      <sheetName val="SUM_PGN"/>
      <sheetName val="I. BUD_URZ"/>
      <sheetName val="I.4. ENERG"/>
      <sheetName val="I.5. ROL_LES"/>
      <sheetName val="II. TRANS"/>
      <sheetName val="III. ODPADY"/>
      <sheetName val="IV. PRZEM"/>
      <sheetName val="V. AFOLU"/>
      <sheetName val="EnergiaEl"/>
      <sheetName val="Ciepło"/>
      <sheetName val="Gaz"/>
      <sheetName val="PAR_TRANS"/>
      <sheetName val="PAR_PALIWA"/>
      <sheetName val="PAR_GWP"/>
      <sheetName val="wskaźnik OZE"/>
      <sheetName val="II. TRANS (obliczenie wskaźnika"/>
    </sheetNames>
    <sheetDataSet>
      <sheetData sheetId="0"/>
      <sheetData sheetId="1"/>
      <sheetData sheetId="2"/>
      <sheetData sheetId="3">
        <row r="3">
          <cell r="E3">
            <v>2013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B5" t="str">
            <v>Gaz ziemny</v>
          </cell>
        </row>
        <row r="6">
          <cell r="B6" t="str">
            <v>Gaz koksowniczy</v>
          </cell>
        </row>
        <row r="7">
          <cell r="B7" t="str">
            <v>Gaz miejski</v>
          </cell>
        </row>
        <row r="8">
          <cell r="B8" t="str">
            <v>Gaz ciekły</v>
          </cell>
        </row>
        <row r="9">
          <cell r="B9" t="str">
            <v>Olej opałowy</v>
          </cell>
        </row>
        <row r="10">
          <cell r="B10" t="str">
            <v>Olej napędowy</v>
          </cell>
        </row>
        <row r="11">
          <cell r="B11" t="str">
            <v>Benzyna</v>
          </cell>
        </row>
        <row r="12">
          <cell r="B12" t="str">
            <v>Koks</v>
          </cell>
        </row>
        <row r="13">
          <cell r="B13" t="str">
            <v>Węgiel kamienny - energetyczny</v>
          </cell>
        </row>
        <row r="14">
          <cell r="B14" t="str">
            <v>Węgiel kamienny - inne rodzaje</v>
          </cell>
        </row>
        <row r="15">
          <cell r="B15" t="str">
            <v>Etanol</v>
          </cell>
        </row>
        <row r="16">
          <cell r="B16" t="str">
            <v>Biodiesel</v>
          </cell>
        </row>
        <row r="17">
          <cell r="B17" t="str">
            <v>Drewno</v>
          </cell>
        </row>
        <row r="18">
          <cell r="B18" t="str">
            <v>Biogaz</v>
          </cell>
        </row>
        <row r="19">
          <cell r="B19" t="str">
            <v>Odpady (MSW)</v>
          </cell>
        </row>
        <row r="21">
          <cell r="B21" t="str">
            <v>Energia elektryczna</v>
          </cell>
        </row>
        <row r="22">
          <cell r="B22" t="str">
            <v>Energia elektryczna</v>
          </cell>
        </row>
        <row r="23">
          <cell r="B23" t="str">
            <v>Ciepło sieciowe</v>
          </cell>
        </row>
      </sheetData>
      <sheetData sheetId="19">
        <row r="4">
          <cell r="B4" t="str">
            <v>CO2</v>
          </cell>
        </row>
        <row r="5">
          <cell r="B5" t="str">
            <v>CH4</v>
          </cell>
          <cell r="C5">
            <v>25</v>
          </cell>
        </row>
        <row r="6">
          <cell r="B6" t="str">
            <v>N2O</v>
          </cell>
          <cell r="C6">
            <v>298</v>
          </cell>
        </row>
        <row r="7">
          <cell r="B7" t="str">
            <v>SF6</v>
          </cell>
          <cell r="C7">
            <v>22800</v>
          </cell>
        </row>
        <row r="8">
          <cell r="B8" t="str">
            <v>NF3</v>
          </cell>
          <cell r="C8">
            <v>17200</v>
          </cell>
        </row>
        <row r="9">
          <cell r="B9" t="str">
            <v>PFC</v>
          </cell>
        </row>
        <row r="10">
          <cell r="B10" t="str">
            <v>HFC</v>
          </cell>
        </row>
      </sheetData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02"/>
      <sheetName val="Hist"/>
      <sheetName val="SUM_do_CDP"/>
      <sheetName val="Rap_GCP"/>
      <sheetName val="Rap_EM"/>
      <sheetName val="SUM"/>
      <sheetName val="Rap_SEAP"/>
      <sheetName val="I. BUD_URZ"/>
      <sheetName val="I.4. ENERG"/>
      <sheetName val="I.5. ROL_LES"/>
      <sheetName val="II. TRANS"/>
      <sheetName val="III. ODPADY"/>
      <sheetName val="IV. PRZEM"/>
      <sheetName val="V. AFOLU"/>
      <sheetName val="PAR_TRANS"/>
      <sheetName val="PAR_PALIWA"/>
      <sheetName val="PAR_GWP"/>
      <sheetName val="II. TRANS (obliczenie wskaźnika"/>
      <sheetName val="ENERGIA ZUŻYCIE"/>
    </sheetNames>
    <sheetDataSet>
      <sheetData sheetId="0"/>
      <sheetData sheetId="1"/>
      <sheetData sheetId="2"/>
      <sheetData sheetId="3"/>
      <sheetData sheetId="4"/>
      <sheetData sheetId="5">
        <row r="40">
          <cell r="C40">
            <v>1475024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3">
          <cell r="M13">
            <v>9032</v>
          </cell>
        </row>
      </sheetData>
      <sheetData sheetId="14"/>
      <sheetData sheetId="15">
        <row r="4">
          <cell r="B4" t="str">
            <v>Gaz ziemny</v>
          </cell>
        </row>
        <row r="5">
          <cell r="B5" t="str">
            <v>Gaz koksowniczy</v>
          </cell>
        </row>
        <row r="6">
          <cell r="B6" t="str">
            <v>Gaz miejski</v>
          </cell>
        </row>
        <row r="7">
          <cell r="B7" t="str">
            <v>Gaz ciekły</v>
          </cell>
        </row>
        <row r="8">
          <cell r="B8" t="str">
            <v>Olej opałowy</v>
          </cell>
        </row>
        <row r="9">
          <cell r="B9" t="str">
            <v>Olej napędowy</v>
          </cell>
        </row>
        <row r="10">
          <cell r="B10" t="str">
            <v>Benzyna</v>
          </cell>
        </row>
        <row r="11">
          <cell r="B11" t="str">
            <v>Koks</v>
          </cell>
        </row>
        <row r="12">
          <cell r="B12" t="str">
            <v>Węgiel kamienny - energetyczny</v>
          </cell>
        </row>
        <row r="13">
          <cell r="B13" t="str">
            <v>Węgiel kamienny - inne rodzaje</v>
          </cell>
        </row>
        <row r="14">
          <cell r="B14" t="str">
            <v>Etanol</v>
          </cell>
        </row>
        <row r="15">
          <cell r="B15" t="str">
            <v>Biodiesel</v>
          </cell>
        </row>
        <row r="16">
          <cell r="B16" t="str">
            <v>Drewno</v>
          </cell>
        </row>
        <row r="17">
          <cell r="B17" t="str">
            <v>Biogaz</v>
          </cell>
        </row>
        <row r="18">
          <cell r="B18" t="str">
            <v>Odpady (MSW)</v>
          </cell>
        </row>
        <row r="20">
          <cell r="B20" t="str">
            <v>Energia elektryczna</v>
          </cell>
        </row>
      </sheetData>
      <sheetData sheetId="16">
        <row r="5">
          <cell r="C5">
            <v>25</v>
          </cell>
        </row>
        <row r="6">
          <cell r="C6">
            <v>298</v>
          </cell>
        </row>
        <row r="7">
          <cell r="C7">
            <v>22800</v>
          </cell>
        </row>
        <row r="8">
          <cell r="C8">
            <v>17200</v>
          </cell>
        </row>
      </sheetData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General Info"/>
      <sheetName val="Govt-Buildings-INPUT"/>
      <sheetName val="Govt-Buildings"/>
      <sheetName val="Govt-Vehicle Fleet-INPUT"/>
      <sheetName val="Govt-Vehicle Fleet"/>
      <sheetName val="Govt-Public Lighting"/>
      <sheetName val="Govt-Water &amp; Sewage"/>
      <sheetName val="Govt-Waste-INPUT"/>
      <sheetName val="Govt-Waste"/>
      <sheetName val="Govt-Summary"/>
      <sheetName val="Com-Residential"/>
      <sheetName val="Com-Commercial"/>
      <sheetName val="Com-Industrial"/>
      <sheetName val="Com-Transportation (VKT)"/>
      <sheetName val="Com-Transportation (FuelSales)"/>
      <sheetName val="Com-Waste"/>
      <sheetName val="Agriculture"/>
      <sheetName val="Local Energy Production"/>
      <sheetName val="Community Summary"/>
      <sheetName val="Fuels Emissions Factors"/>
      <sheetName val="Electricity Emissions Factors"/>
      <sheetName val="Agriculture Emission Factors"/>
      <sheetName val="N2O coef"/>
      <sheetName val="CH4 coef"/>
      <sheetName val="Waste coef"/>
    </sheetNames>
    <sheetDataSet>
      <sheetData sheetId="0"/>
      <sheetData sheetId="1"/>
      <sheetData sheetId="2"/>
      <sheetData sheetId="3"/>
      <sheetData sheetId="4"/>
      <sheetData sheetId="5">
        <row r="70">
          <cell r="AH70">
            <v>38193.453615459686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Kalkulator"/>
      <sheetName val="Wskaźniki"/>
    </sheetNames>
    <sheetDataSet>
      <sheetData sheetId="0"/>
      <sheetData sheetId="1">
        <row r="12">
          <cell r="D12">
            <v>22.63</v>
          </cell>
          <cell r="K12">
            <v>0.375</v>
          </cell>
          <cell r="N12">
            <v>0.125</v>
          </cell>
          <cell r="Q12">
            <v>0.02</v>
          </cell>
          <cell r="T12">
            <v>0.155</v>
          </cell>
          <cell r="W12">
            <v>3.0950000000000002</v>
          </cell>
          <cell r="Z12">
            <v>1.5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D6"/>
  <sheetViews>
    <sheetView workbookViewId="0">
      <selection activeCell="B7" sqref="B7"/>
    </sheetView>
  </sheetViews>
  <sheetFormatPr defaultColWidth="9.140625" defaultRowHeight="15"/>
  <cols>
    <col min="1" max="1" width="9.140625" style="3"/>
    <col min="2" max="2" width="11.5703125" style="226" customWidth="1"/>
    <col min="3" max="3" width="9.140625" style="226"/>
    <col min="4" max="4" width="88.28515625" style="227" customWidth="1"/>
    <col min="5" max="16384" width="9.140625" style="3"/>
  </cols>
  <sheetData>
    <row r="1" spans="1:4" ht="18.75">
      <c r="A1" s="228" t="s">
        <v>215</v>
      </c>
    </row>
    <row r="3" spans="1:4">
      <c r="B3" s="224" t="s">
        <v>213</v>
      </c>
      <c r="C3" s="224" t="s">
        <v>211</v>
      </c>
      <c r="D3" s="223" t="s">
        <v>212</v>
      </c>
    </row>
    <row r="4" spans="1:4">
      <c r="B4" s="225">
        <v>42172</v>
      </c>
      <c r="C4" s="226" t="s">
        <v>214</v>
      </c>
      <c r="D4" s="229" t="s">
        <v>210</v>
      </c>
    </row>
    <row r="5" spans="1:4">
      <c r="B5" s="225">
        <v>42326</v>
      </c>
      <c r="C5" s="226" t="s">
        <v>214</v>
      </c>
      <c r="D5" s="229" t="s">
        <v>333</v>
      </c>
    </row>
    <row r="6" spans="1:4">
      <c r="B6" s="225">
        <v>42498</v>
      </c>
      <c r="C6" s="226" t="s">
        <v>214</v>
      </c>
      <c r="D6" s="229" t="s">
        <v>334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36"/>
  <sheetViews>
    <sheetView zoomScale="85" zoomScaleNormal="85" workbookViewId="0">
      <selection activeCell="H122" sqref="H122"/>
    </sheetView>
  </sheetViews>
  <sheetFormatPr defaultColWidth="9.140625" defaultRowHeight="15"/>
  <cols>
    <col min="1" max="1" width="5.28515625" style="3" customWidth="1"/>
    <col min="2" max="2" width="24.42578125" style="3" customWidth="1"/>
    <col min="3" max="3" width="15.28515625" style="3" customWidth="1"/>
    <col min="4" max="4" width="17.42578125" style="3" customWidth="1"/>
    <col min="5" max="5" width="19.28515625" style="3" customWidth="1"/>
    <col min="6" max="6" width="14.85546875" style="3" customWidth="1"/>
    <col min="7" max="7" width="12" style="3" customWidth="1"/>
    <col min="8" max="8" width="15.28515625" style="3" customWidth="1"/>
    <col min="9" max="9" width="12.140625" style="3" customWidth="1"/>
    <col min="10" max="10" width="12.140625" style="3" hidden="1" customWidth="1"/>
    <col min="11" max="11" width="12.5703125" style="3" customWidth="1"/>
    <col min="12" max="12" width="13.140625" style="3" bestFit="1" customWidth="1"/>
    <col min="13" max="13" width="14.5703125" style="3" customWidth="1"/>
    <col min="14" max="14" width="21.7109375" style="3" customWidth="1"/>
    <col min="15" max="15" width="14.7109375" style="3" customWidth="1"/>
    <col min="16" max="28" width="9.140625" style="3"/>
    <col min="29" max="29" width="13.7109375" style="3" customWidth="1"/>
    <col min="30" max="16384" width="9.140625" style="3"/>
  </cols>
  <sheetData>
    <row r="1" spans="1:18" ht="21">
      <c r="A1" s="112" t="s">
        <v>59</v>
      </c>
      <c r="B1" s="112" t="s">
        <v>1</v>
      </c>
    </row>
    <row r="3" spans="1:18" ht="15.75" thickBot="1"/>
    <row r="4" spans="1:18" ht="26.25" customHeight="1" thickBot="1">
      <c r="B4" s="22" t="s">
        <v>76</v>
      </c>
      <c r="C4" s="23" t="s">
        <v>3</v>
      </c>
      <c r="D4" s="24" t="s">
        <v>67</v>
      </c>
      <c r="E4" s="597" t="s">
        <v>131</v>
      </c>
      <c r="F4" s="599" t="s">
        <v>123</v>
      </c>
      <c r="G4" s="597"/>
      <c r="H4" s="597" t="s">
        <v>133</v>
      </c>
      <c r="I4" s="597"/>
      <c r="J4" s="88" t="s">
        <v>137</v>
      </c>
      <c r="K4" s="600" t="s">
        <v>134</v>
      </c>
      <c r="L4" s="599" t="s">
        <v>139</v>
      </c>
      <c r="M4" s="597"/>
      <c r="N4" s="600"/>
      <c r="O4" s="599" t="s">
        <v>138</v>
      </c>
      <c r="P4" s="597"/>
      <c r="Q4" s="597"/>
      <c r="R4" s="600"/>
    </row>
    <row r="5" spans="1:18">
      <c r="B5" s="89"/>
      <c r="C5" s="29"/>
      <c r="D5" s="29"/>
      <c r="E5" s="598"/>
      <c r="F5" s="103" t="s">
        <v>132</v>
      </c>
      <c r="G5" s="86" t="s">
        <v>136</v>
      </c>
      <c r="H5" s="86" t="s">
        <v>132</v>
      </c>
      <c r="I5" s="86" t="s">
        <v>136</v>
      </c>
      <c r="J5" s="86"/>
      <c r="K5" s="601"/>
      <c r="L5" s="103" t="s">
        <v>135</v>
      </c>
      <c r="M5" s="86" t="s">
        <v>112</v>
      </c>
      <c r="N5" s="90" t="s">
        <v>126</v>
      </c>
      <c r="O5" s="103" t="s">
        <v>135</v>
      </c>
      <c r="P5" s="86" t="s">
        <v>112</v>
      </c>
      <c r="Q5" s="86" t="s">
        <v>126</v>
      </c>
      <c r="R5" s="106" t="s">
        <v>110</v>
      </c>
    </row>
    <row r="6" spans="1:18">
      <c r="B6" s="20" t="s">
        <v>26</v>
      </c>
      <c r="C6" s="96" t="s">
        <v>46</v>
      </c>
      <c r="D6" s="97"/>
      <c r="E6" s="100"/>
      <c r="F6" s="104"/>
      <c r="G6" s="98"/>
      <c r="H6" s="98"/>
      <c r="I6" s="98"/>
      <c r="J6" s="100"/>
      <c r="K6" s="99"/>
      <c r="L6" s="104"/>
      <c r="M6" s="98"/>
      <c r="N6" s="99"/>
      <c r="O6" s="104"/>
      <c r="P6" s="98"/>
      <c r="Q6" s="100"/>
      <c r="R6" s="107"/>
    </row>
    <row r="7" spans="1:18">
      <c r="B7" s="20" t="s">
        <v>49</v>
      </c>
      <c r="C7" s="14"/>
      <c r="D7" s="97" t="s">
        <v>47</v>
      </c>
      <c r="E7" s="100"/>
      <c r="F7" s="104"/>
      <c r="G7" s="98"/>
      <c r="H7" s="98"/>
      <c r="I7" s="98"/>
      <c r="J7" s="100"/>
      <c r="K7" s="99"/>
      <c r="L7" s="104"/>
      <c r="M7" s="98"/>
      <c r="N7" s="99"/>
      <c r="O7" s="104"/>
      <c r="P7" s="98"/>
      <c r="Q7" s="100"/>
      <c r="R7" s="107"/>
    </row>
    <row r="8" spans="1:18">
      <c r="B8" s="93"/>
      <c r="C8" s="91"/>
      <c r="D8" s="91"/>
      <c r="E8" s="101" t="s">
        <v>85</v>
      </c>
      <c r="F8" s="93">
        <v>1.887</v>
      </c>
      <c r="G8" s="91" t="e">
        <f>VLOOKUP(E8,#REF!,2,FALSE)</f>
        <v>#REF!</v>
      </c>
      <c r="H8" s="91" t="e">
        <f>VLOOKUP(E8,#REF!,3,FALSE)</f>
        <v>#REF!</v>
      </c>
      <c r="I8" s="91" t="e">
        <f>VLOOKUP(E8,#REF!,4,FALSE)</f>
        <v>#REF!</v>
      </c>
      <c r="J8" s="101" t="e">
        <f>VLOOKUP(E8,#REF!,5,FALSE)</f>
        <v>#REF!</v>
      </c>
      <c r="K8" s="92" t="e">
        <f>F8*J8*H8</f>
        <v>#REF!</v>
      </c>
      <c r="L8" s="93" t="e">
        <f>VLOOKUP(E8,#REF!,7,FALSE)</f>
        <v>#REF!</v>
      </c>
      <c r="M8" s="91" t="e">
        <f>VLOOKUP(E8,#REF!,9,FALSE)</f>
        <v>#REF!</v>
      </c>
      <c r="N8" s="92" t="e">
        <f>VLOOKUP(E8,#REF!,11,FALSE)</f>
        <v>#REF!</v>
      </c>
      <c r="O8" s="93" t="e">
        <f>ROUND(K8*L8/1000,0)</f>
        <v>#REF!</v>
      </c>
      <c r="P8" s="91" t="e">
        <f>ROUND(M8*K8/1000,3)</f>
        <v>#REF!</v>
      </c>
      <c r="Q8" s="101" t="e">
        <f>ROUND(K8*N8/1000,3)</f>
        <v>#REF!</v>
      </c>
      <c r="R8" s="108" t="e">
        <f t="shared" ref="R8:R14" si="0">ROUND(O8+P8*GWP_CH4+Q8*GWP_N2O,0)</f>
        <v>#REF!</v>
      </c>
    </row>
    <row r="9" spans="1:18">
      <c r="B9" s="93"/>
      <c r="C9" s="91"/>
      <c r="D9" s="91"/>
      <c r="E9" s="101" t="s">
        <v>84</v>
      </c>
      <c r="F9" s="93">
        <v>4.109</v>
      </c>
      <c r="G9" s="91" t="e">
        <f>VLOOKUP(E9,#REF!,2,FALSE)</f>
        <v>#REF!</v>
      </c>
      <c r="H9" s="91" t="e">
        <f>VLOOKUP(E9,#REF!,3,FALSE)</f>
        <v>#REF!</v>
      </c>
      <c r="I9" s="91" t="e">
        <f>VLOOKUP(E9,#REF!,4,FALSE)</f>
        <v>#REF!</v>
      </c>
      <c r="J9" s="101" t="e">
        <f>VLOOKUP(E9,#REF!,5,FALSE)</f>
        <v>#REF!</v>
      </c>
      <c r="K9" s="92" t="e">
        <f t="shared" ref="K9:K14" si="1">F9*J9*H9</f>
        <v>#REF!</v>
      </c>
      <c r="L9" s="93" t="e">
        <f>VLOOKUP(E9,#REF!,7,FALSE)</f>
        <v>#REF!</v>
      </c>
      <c r="M9" s="91" t="e">
        <f>VLOOKUP(E9,#REF!,9,FALSE)</f>
        <v>#REF!</v>
      </c>
      <c r="N9" s="92" t="e">
        <f>VLOOKUP(E9,#REF!,11,FALSE)</f>
        <v>#REF!</v>
      </c>
      <c r="O9" s="93" t="e">
        <f t="shared" ref="O9:O14" si="2">ROUND(K9*L9/1000,0)</f>
        <v>#REF!</v>
      </c>
      <c r="P9" s="91" t="e">
        <f t="shared" ref="P9:P14" si="3">ROUND(M9*K9/1000,3)</f>
        <v>#REF!</v>
      </c>
      <c r="Q9" s="101" t="e">
        <f t="shared" ref="Q9:Q14" si="4">ROUND(K9*N9/1000,3)</f>
        <v>#REF!</v>
      </c>
      <c r="R9" s="108" t="e">
        <f t="shared" si="0"/>
        <v>#REF!</v>
      </c>
    </row>
    <row r="10" spans="1:18">
      <c r="B10" s="93"/>
      <c r="C10" s="91"/>
      <c r="D10" s="91"/>
      <c r="E10" s="101" t="s">
        <v>83</v>
      </c>
      <c r="F10" s="93"/>
      <c r="G10" s="91" t="e">
        <f>VLOOKUP(E10,#REF!,2,FALSE)</f>
        <v>#REF!</v>
      </c>
      <c r="H10" s="91" t="e">
        <f>VLOOKUP(E10,#REF!,3,FALSE)</f>
        <v>#REF!</v>
      </c>
      <c r="I10" s="91" t="e">
        <f>VLOOKUP(E10,#REF!,4,FALSE)</f>
        <v>#REF!</v>
      </c>
      <c r="J10" s="101" t="e">
        <f>VLOOKUP(E10,#REF!,5,FALSE)</f>
        <v>#REF!</v>
      </c>
      <c r="K10" s="92" t="e">
        <f t="shared" si="1"/>
        <v>#REF!</v>
      </c>
      <c r="L10" s="93" t="e">
        <f>VLOOKUP(E10,#REF!,7,FALSE)</f>
        <v>#REF!</v>
      </c>
      <c r="M10" s="91" t="e">
        <f>VLOOKUP(E10,#REF!,9,FALSE)</f>
        <v>#REF!</v>
      </c>
      <c r="N10" s="92" t="e">
        <f>VLOOKUP(E10,#REF!,11,FALSE)</f>
        <v>#REF!</v>
      </c>
      <c r="O10" s="93" t="e">
        <f t="shared" si="2"/>
        <v>#REF!</v>
      </c>
      <c r="P10" s="91" t="e">
        <f t="shared" si="3"/>
        <v>#REF!</v>
      </c>
      <c r="Q10" s="101" t="e">
        <f t="shared" si="4"/>
        <v>#REF!</v>
      </c>
      <c r="R10" s="108" t="e">
        <f t="shared" si="0"/>
        <v>#REF!</v>
      </c>
    </row>
    <row r="11" spans="1:18">
      <c r="B11" s="93"/>
      <c r="C11" s="91"/>
      <c r="D11" s="91"/>
      <c r="E11" s="101" t="s">
        <v>80</v>
      </c>
      <c r="F11" s="93"/>
      <c r="G11" s="91" t="e">
        <f>VLOOKUP(E11,#REF!,2,FALSE)</f>
        <v>#REF!</v>
      </c>
      <c r="H11" s="91" t="e">
        <f>VLOOKUP(E11,#REF!,3,FALSE)</f>
        <v>#REF!</v>
      </c>
      <c r="I11" s="91" t="e">
        <f>VLOOKUP(E11,#REF!,4,FALSE)</f>
        <v>#REF!</v>
      </c>
      <c r="J11" s="101" t="e">
        <f>VLOOKUP(E11,#REF!,5,FALSE)</f>
        <v>#REF!</v>
      </c>
      <c r="K11" s="92" t="e">
        <f t="shared" si="1"/>
        <v>#REF!</v>
      </c>
      <c r="L11" s="93" t="e">
        <f>VLOOKUP(E11,#REF!,7,FALSE)</f>
        <v>#REF!</v>
      </c>
      <c r="M11" s="91" t="e">
        <f>VLOOKUP(E11,#REF!,9,FALSE)</f>
        <v>#REF!</v>
      </c>
      <c r="N11" s="92" t="e">
        <f>VLOOKUP(E11,#REF!,11,FALSE)</f>
        <v>#REF!</v>
      </c>
      <c r="O11" s="93" t="e">
        <f t="shared" si="2"/>
        <v>#REF!</v>
      </c>
      <c r="P11" s="91" t="e">
        <f t="shared" si="3"/>
        <v>#REF!</v>
      </c>
      <c r="Q11" s="101" t="e">
        <f t="shared" si="4"/>
        <v>#REF!</v>
      </c>
      <c r="R11" s="108" t="e">
        <f t="shared" si="0"/>
        <v>#REF!</v>
      </c>
    </row>
    <row r="12" spans="1:18">
      <c r="B12" s="93"/>
      <c r="C12" s="91"/>
      <c r="D12" s="91"/>
      <c r="E12" s="101" t="s">
        <v>162</v>
      </c>
      <c r="F12" s="93"/>
      <c r="G12" s="91" t="e">
        <f>VLOOKUP(E12,#REF!,2,FALSE)</f>
        <v>#REF!</v>
      </c>
      <c r="H12" s="91" t="e">
        <f>VLOOKUP(E12,#REF!,3,FALSE)</f>
        <v>#REF!</v>
      </c>
      <c r="I12" s="91" t="e">
        <f>VLOOKUP(E12,#REF!,4,FALSE)</f>
        <v>#REF!</v>
      </c>
      <c r="J12" s="101" t="e">
        <f>VLOOKUP(E12,#REF!,5,FALSE)</f>
        <v>#REF!</v>
      </c>
      <c r="K12" s="92" t="e">
        <f t="shared" si="1"/>
        <v>#REF!</v>
      </c>
      <c r="L12" s="93" t="e">
        <f>VLOOKUP(E12,#REF!,7,FALSE)</f>
        <v>#REF!</v>
      </c>
      <c r="M12" s="91" t="e">
        <f>VLOOKUP(E12,#REF!,9,FALSE)</f>
        <v>#REF!</v>
      </c>
      <c r="N12" s="92" t="e">
        <f>VLOOKUP(E12,#REF!,11,FALSE)</f>
        <v>#REF!</v>
      </c>
      <c r="O12" s="93" t="e">
        <f t="shared" si="2"/>
        <v>#REF!</v>
      </c>
      <c r="P12" s="91" t="e">
        <f t="shared" si="3"/>
        <v>#REF!</v>
      </c>
      <c r="Q12" s="101" t="e">
        <f t="shared" si="4"/>
        <v>#REF!</v>
      </c>
      <c r="R12" s="108" t="e">
        <f t="shared" si="0"/>
        <v>#REF!</v>
      </c>
    </row>
    <row r="13" spans="1:18">
      <c r="B13" s="93"/>
      <c r="C13" s="91"/>
      <c r="D13" s="91"/>
      <c r="E13" s="101" t="s">
        <v>161</v>
      </c>
      <c r="F13" s="93"/>
      <c r="G13" s="91" t="e">
        <f>VLOOKUP(E13,#REF!,2,FALSE)</f>
        <v>#REF!</v>
      </c>
      <c r="H13" s="91" t="e">
        <f>VLOOKUP(E13,#REF!,3,FALSE)</f>
        <v>#REF!</v>
      </c>
      <c r="I13" s="91" t="e">
        <f>VLOOKUP(E13,#REF!,4,FALSE)</f>
        <v>#REF!</v>
      </c>
      <c r="J13" s="101" t="e">
        <f>VLOOKUP(E13,#REF!,5,FALSE)</f>
        <v>#REF!</v>
      </c>
      <c r="K13" s="92" t="e">
        <f t="shared" si="1"/>
        <v>#REF!</v>
      </c>
      <c r="L13" s="93" t="e">
        <f>VLOOKUP(E13,#REF!,7,FALSE)</f>
        <v>#REF!</v>
      </c>
      <c r="M13" s="91" t="e">
        <f>VLOOKUP(E13,#REF!,9,FALSE)</f>
        <v>#REF!</v>
      </c>
      <c r="N13" s="92" t="e">
        <f>VLOOKUP(E13,#REF!,11,FALSE)</f>
        <v>#REF!</v>
      </c>
      <c r="O13" s="93" t="e">
        <f t="shared" si="2"/>
        <v>#REF!</v>
      </c>
      <c r="P13" s="91" t="e">
        <f t="shared" si="3"/>
        <v>#REF!</v>
      </c>
      <c r="Q13" s="101" t="e">
        <f t="shared" si="4"/>
        <v>#REF!</v>
      </c>
      <c r="R13" s="108" t="e">
        <f t="shared" si="0"/>
        <v>#REF!</v>
      </c>
    </row>
    <row r="14" spans="1:18">
      <c r="B14" s="93"/>
      <c r="C14" s="91"/>
      <c r="D14" s="91"/>
      <c r="E14" s="101" t="s">
        <v>77</v>
      </c>
      <c r="F14" s="93"/>
      <c r="G14" s="91" t="e">
        <f>VLOOKUP(E14,#REF!,2,FALSE)</f>
        <v>#REF!</v>
      </c>
      <c r="H14" s="91" t="e">
        <f>VLOOKUP(E14,#REF!,3,FALSE)</f>
        <v>#REF!</v>
      </c>
      <c r="I14" s="91" t="e">
        <f>VLOOKUP(E14,#REF!,4,FALSE)</f>
        <v>#REF!</v>
      </c>
      <c r="J14" s="101" t="e">
        <f>VLOOKUP(E14,#REF!,5,FALSE)</f>
        <v>#REF!</v>
      </c>
      <c r="K14" s="92" t="e">
        <f t="shared" si="1"/>
        <v>#REF!</v>
      </c>
      <c r="L14" s="93" t="e">
        <f>VLOOKUP(E14,#REF!,7,FALSE)</f>
        <v>#REF!</v>
      </c>
      <c r="M14" s="91" t="e">
        <f>VLOOKUP(E14,#REF!,9,FALSE)</f>
        <v>#REF!</v>
      </c>
      <c r="N14" s="92" t="e">
        <f>VLOOKUP(E14,#REF!,11,FALSE)</f>
        <v>#REF!</v>
      </c>
      <c r="O14" s="93" t="e">
        <f t="shared" si="2"/>
        <v>#REF!</v>
      </c>
      <c r="P14" s="91" t="e">
        <f t="shared" si="3"/>
        <v>#REF!</v>
      </c>
      <c r="Q14" s="101" t="e">
        <f t="shared" si="4"/>
        <v>#REF!</v>
      </c>
      <c r="R14" s="108" t="e">
        <f t="shared" si="0"/>
        <v>#REF!</v>
      </c>
    </row>
    <row r="15" spans="1:18">
      <c r="B15" s="20" t="s">
        <v>50</v>
      </c>
      <c r="C15" s="14"/>
      <c r="D15" s="97" t="s">
        <v>68</v>
      </c>
      <c r="E15" s="100"/>
      <c r="F15" s="104"/>
      <c r="G15" s="98"/>
      <c r="H15" s="98"/>
      <c r="I15" s="98"/>
      <c r="J15" s="100"/>
      <c r="K15" s="99"/>
      <c r="L15" s="104"/>
      <c r="M15" s="98"/>
      <c r="N15" s="99"/>
      <c r="O15" s="104"/>
      <c r="P15" s="98"/>
      <c r="Q15" s="100"/>
      <c r="R15" s="107"/>
    </row>
    <row r="16" spans="1:18">
      <c r="B16" s="93"/>
      <c r="C16" s="91"/>
      <c r="D16" s="91"/>
      <c r="E16" s="101" t="s">
        <v>85</v>
      </c>
      <c r="F16" s="93">
        <v>0</v>
      </c>
      <c r="G16" s="91" t="e">
        <f>VLOOKUP(E16,#REF!,2,FALSE)</f>
        <v>#REF!</v>
      </c>
      <c r="H16" s="91" t="e">
        <f>VLOOKUP(E16,#REF!,3,FALSE)</f>
        <v>#REF!</v>
      </c>
      <c r="I16" s="91" t="e">
        <f>VLOOKUP(E16,#REF!,4,FALSE)</f>
        <v>#REF!</v>
      </c>
      <c r="J16" s="101" t="e">
        <f>VLOOKUP(E16,#REF!,5,FALSE)</f>
        <v>#REF!</v>
      </c>
      <c r="K16" s="92" t="e">
        <f t="shared" ref="K16:K22" si="5">F16*J16*H16</f>
        <v>#REF!</v>
      </c>
      <c r="L16" s="93" t="e">
        <f>VLOOKUP(E16,#REF!,7,FALSE)</f>
        <v>#REF!</v>
      </c>
      <c r="M16" s="91" t="e">
        <f>VLOOKUP(E16,#REF!,9,FALSE)</f>
        <v>#REF!</v>
      </c>
      <c r="N16" s="92" t="e">
        <f>VLOOKUP(E16,#REF!,11,FALSE)</f>
        <v>#REF!</v>
      </c>
      <c r="O16" s="93" t="e">
        <f t="shared" ref="O16:O22" si="6">ROUND(K16*L16/1000,0)</f>
        <v>#REF!</v>
      </c>
      <c r="P16" s="91" t="e">
        <f t="shared" ref="P16:P22" si="7">ROUND(M16*K16/1000,3)</f>
        <v>#REF!</v>
      </c>
      <c r="Q16" s="101" t="e">
        <f t="shared" ref="Q16:Q22" si="8">ROUND(K16*N16/1000,3)</f>
        <v>#REF!</v>
      </c>
      <c r="R16" s="108" t="e">
        <f t="shared" ref="R16:R22" si="9">ROUND(O16+P16*GWP_CH4+Q16*GWP_N2O,0)</f>
        <v>#REF!</v>
      </c>
    </row>
    <row r="17" spans="2:18">
      <c r="B17" s="93"/>
      <c r="C17" s="91"/>
      <c r="D17" s="91"/>
      <c r="E17" s="101" t="s">
        <v>84</v>
      </c>
      <c r="F17" s="93">
        <v>11056.992</v>
      </c>
      <c r="G17" s="91" t="e">
        <f>VLOOKUP(E17,#REF!,2,FALSE)</f>
        <v>#REF!</v>
      </c>
      <c r="H17" s="91" t="e">
        <f>VLOOKUP(E17,#REF!,3,FALSE)</f>
        <v>#REF!</v>
      </c>
      <c r="I17" s="91" t="e">
        <f>VLOOKUP(E17,#REF!,4,FALSE)</f>
        <v>#REF!</v>
      </c>
      <c r="J17" s="101" t="e">
        <f>VLOOKUP(E17,#REF!,5,FALSE)</f>
        <v>#REF!</v>
      </c>
      <c r="K17" s="92" t="e">
        <f t="shared" si="5"/>
        <v>#REF!</v>
      </c>
      <c r="L17" s="93" t="e">
        <f>VLOOKUP(E17,#REF!,7,FALSE)</f>
        <v>#REF!</v>
      </c>
      <c r="M17" s="91" t="e">
        <f>VLOOKUP(E17,#REF!,9,FALSE)</f>
        <v>#REF!</v>
      </c>
      <c r="N17" s="92" t="e">
        <f>VLOOKUP(E17,#REF!,11,FALSE)</f>
        <v>#REF!</v>
      </c>
      <c r="O17" s="93" t="e">
        <f t="shared" si="6"/>
        <v>#REF!</v>
      </c>
      <c r="P17" s="91" t="e">
        <f t="shared" si="7"/>
        <v>#REF!</v>
      </c>
      <c r="Q17" s="101" t="e">
        <f t="shared" si="8"/>
        <v>#REF!</v>
      </c>
      <c r="R17" s="108" t="e">
        <f t="shared" si="9"/>
        <v>#REF!</v>
      </c>
    </row>
    <row r="18" spans="2:18">
      <c r="B18" s="93"/>
      <c r="C18" s="91"/>
      <c r="D18" s="91"/>
      <c r="E18" s="101" t="s">
        <v>83</v>
      </c>
      <c r="F18" s="93">
        <v>0</v>
      </c>
      <c r="G18" s="91" t="e">
        <f>VLOOKUP(E18,#REF!,2,FALSE)</f>
        <v>#REF!</v>
      </c>
      <c r="H18" s="91" t="e">
        <f>VLOOKUP(E18,#REF!,3,FALSE)</f>
        <v>#REF!</v>
      </c>
      <c r="I18" s="91" t="e">
        <f>VLOOKUP(E18,#REF!,4,FALSE)</f>
        <v>#REF!</v>
      </c>
      <c r="J18" s="101" t="e">
        <f>VLOOKUP(E18,#REF!,5,FALSE)</f>
        <v>#REF!</v>
      </c>
      <c r="K18" s="92" t="e">
        <f t="shared" si="5"/>
        <v>#REF!</v>
      </c>
      <c r="L18" s="93" t="e">
        <f>VLOOKUP(E18,#REF!,7,FALSE)</f>
        <v>#REF!</v>
      </c>
      <c r="M18" s="91" t="e">
        <f>VLOOKUP(E18,#REF!,9,FALSE)</f>
        <v>#REF!</v>
      </c>
      <c r="N18" s="92" t="e">
        <f>VLOOKUP(E18,#REF!,11,FALSE)</f>
        <v>#REF!</v>
      </c>
      <c r="O18" s="93" t="e">
        <f t="shared" si="6"/>
        <v>#REF!</v>
      </c>
      <c r="P18" s="91" t="e">
        <f t="shared" si="7"/>
        <v>#REF!</v>
      </c>
      <c r="Q18" s="101" t="e">
        <f t="shared" si="8"/>
        <v>#REF!</v>
      </c>
      <c r="R18" s="108" t="e">
        <f t="shared" si="9"/>
        <v>#REF!</v>
      </c>
    </row>
    <row r="19" spans="2:18">
      <c r="B19" s="93"/>
      <c r="C19" s="91"/>
      <c r="D19" s="91"/>
      <c r="E19" s="101" t="s">
        <v>80</v>
      </c>
      <c r="F19" s="93">
        <v>0</v>
      </c>
      <c r="G19" s="91" t="e">
        <f>VLOOKUP(E19,#REF!,2,FALSE)</f>
        <v>#REF!</v>
      </c>
      <c r="H19" s="91" t="e">
        <f>VLOOKUP(E19,#REF!,3,FALSE)</f>
        <v>#REF!</v>
      </c>
      <c r="I19" s="91" t="e">
        <f>VLOOKUP(E19,#REF!,4,FALSE)</f>
        <v>#REF!</v>
      </c>
      <c r="J19" s="101" t="e">
        <f>VLOOKUP(E19,#REF!,5,FALSE)</f>
        <v>#REF!</v>
      </c>
      <c r="K19" s="92" t="e">
        <f t="shared" si="5"/>
        <v>#REF!</v>
      </c>
      <c r="L19" s="93" t="e">
        <f>VLOOKUP(E19,#REF!,7,FALSE)</f>
        <v>#REF!</v>
      </c>
      <c r="M19" s="91" t="e">
        <f>VLOOKUP(E19,#REF!,9,FALSE)</f>
        <v>#REF!</v>
      </c>
      <c r="N19" s="92" t="e">
        <f>VLOOKUP(E19,#REF!,11,FALSE)</f>
        <v>#REF!</v>
      </c>
      <c r="O19" s="93" t="e">
        <f t="shared" si="6"/>
        <v>#REF!</v>
      </c>
      <c r="P19" s="91" t="e">
        <f t="shared" si="7"/>
        <v>#REF!</v>
      </c>
      <c r="Q19" s="101" t="e">
        <f t="shared" si="8"/>
        <v>#REF!</v>
      </c>
      <c r="R19" s="108" t="e">
        <f t="shared" si="9"/>
        <v>#REF!</v>
      </c>
    </row>
    <row r="20" spans="2:18">
      <c r="B20" s="93"/>
      <c r="C20" s="91"/>
      <c r="D20" s="91"/>
      <c r="E20" s="101" t="s">
        <v>162</v>
      </c>
      <c r="F20" s="93">
        <v>0</v>
      </c>
      <c r="G20" s="91" t="e">
        <f>VLOOKUP(E20,#REF!,2,FALSE)</f>
        <v>#REF!</v>
      </c>
      <c r="H20" s="91" t="e">
        <f>VLOOKUP(E20,#REF!,3,FALSE)</f>
        <v>#REF!</v>
      </c>
      <c r="I20" s="91" t="e">
        <f>VLOOKUP(E20,#REF!,4,FALSE)</f>
        <v>#REF!</v>
      </c>
      <c r="J20" s="101" t="e">
        <f>VLOOKUP(E20,#REF!,5,FALSE)</f>
        <v>#REF!</v>
      </c>
      <c r="K20" s="92" t="e">
        <f t="shared" si="5"/>
        <v>#REF!</v>
      </c>
      <c r="L20" s="93" t="e">
        <f>VLOOKUP(E20,#REF!,7,FALSE)</f>
        <v>#REF!</v>
      </c>
      <c r="M20" s="91" t="e">
        <f>VLOOKUP(E20,#REF!,9,FALSE)</f>
        <v>#REF!</v>
      </c>
      <c r="N20" s="92" t="e">
        <f>VLOOKUP(E20,#REF!,11,FALSE)</f>
        <v>#REF!</v>
      </c>
      <c r="O20" s="93" t="e">
        <f t="shared" si="6"/>
        <v>#REF!</v>
      </c>
      <c r="P20" s="91" t="e">
        <f t="shared" si="7"/>
        <v>#REF!</v>
      </c>
      <c r="Q20" s="101" t="e">
        <f t="shared" si="8"/>
        <v>#REF!</v>
      </c>
      <c r="R20" s="108" t="e">
        <f t="shared" si="9"/>
        <v>#REF!</v>
      </c>
    </row>
    <row r="21" spans="2:18">
      <c r="B21" s="93"/>
      <c r="C21" s="91"/>
      <c r="D21" s="91"/>
      <c r="E21" s="101" t="s">
        <v>161</v>
      </c>
      <c r="F21" s="93">
        <v>0</v>
      </c>
      <c r="G21" s="91" t="e">
        <f>VLOOKUP(E21,#REF!,2,FALSE)</f>
        <v>#REF!</v>
      </c>
      <c r="H21" s="91" t="e">
        <f>VLOOKUP(E21,#REF!,3,FALSE)</f>
        <v>#REF!</v>
      </c>
      <c r="I21" s="91" t="e">
        <f>VLOOKUP(E21,#REF!,4,FALSE)</f>
        <v>#REF!</v>
      </c>
      <c r="J21" s="101" t="e">
        <f>VLOOKUP(E21,#REF!,5,FALSE)</f>
        <v>#REF!</v>
      </c>
      <c r="K21" s="92" t="e">
        <f t="shared" si="5"/>
        <v>#REF!</v>
      </c>
      <c r="L21" s="93" t="e">
        <f>VLOOKUP(E21,#REF!,7,FALSE)</f>
        <v>#REF!</v>
      </c>
      <c r="M21" s="91" t="e">
        <f>VLOOKUP(E21,#REF!,9,FALSE)</f>
        <v>#REF!</v>
      </c>
      <c r="N21" s="92" t="e">
        <f>VLOOKUP(E21,#REF!,11,FALSE)</f>
        <v>#REF!</v>
      </c>
      <c r="O21" s="93" t="e">
        <f t="shared" si="6"/>
        <v>#REF!</v>
      </c>
      <c r="P21" s="91" t="e">
        <f t="shared" si="7"/>
        <v>#REF!</v>
      </c>
      <c r="Q21" s="101" t="e">
        <f t="shared" si="8"/>
        <v>#REF!</v>
      </c>
      <c r="R21" s="108" t="e">
        <f t="shared" si="9"/>
        <v>#REF!</v>
      </c>
    </row>
    <row r="22" spans="2:18">
      <c r="B22" s="93"/>
      <c r="C22" s="91"/>
      <c r="D22" s="91"/>
      <c r="E22" s="101" t="s">
        <v>77</v>
      </c>
      <c r="F22" s="93">
        <v>0</v>
      </c>
      <c r="G22" s="91" t="e">
        <f>VLOOKUP(E22,#REF!,2,FALSE)</f>
        <v>#REF!</v>
      </c>
      <c r="H22" s="91" t="e">
        <f>VLOOKUP(E22,#REF!,3,FALSE)</f>
        <v>#REF!</v>
      </c>
      <c r="I22" s="91" t="e">
        <f>VLOOKUP(E22,#REF!,4,FALSE)</f>
        <v>#REF!</v>
      </c>
      <c r="J22" s="101" t="e">
        <f>VLOOKUP(E22,#REF!,5,FALSE)</f>
        <v>#REF!</v>
      </c>
      <c r="K22" s="92" t="e">
        <f t="shared" si="5"/>
        <v>#REF!</v>
      </c>
      <c r="L22" s="93" t="e">
        <f>VLOOKUP(E22,#REF!,7,FALSE)</f>
        <v>#REF!</v>
      </c>
      <c r="M22" s="91" t="e">
        <f>VLOOKUP(E22,#REF!,9,FALSE)</f>
        <v>#REF!</v>
      </c>
      <c r="N22" s="92" t="e">
        <f>VLOOKUP(E22,#REF!,11,FALSE)</f>
        <v>#REF!</v>
      </c>
      <c r="O22" s="93" t="e">
        <f t="shared" si="6"/>
        <v>#REF!</v>
      </c>
      <c r="P22" s="91" t="e">
        <f t="shared" si="7"/>
        <v>#REF!</v>
      </c>
      <c r="Q22" s="101" t="e">
        <f t="shared" si="8"/>
        <v>#REF!</v>
      </c>
      <c r="R22" s="108" t="e">
        <f t="shared" si="9"/>
        <v>#REF!</v>
      </c>
    </row>
    <row r="23" spans="2:18">
      <c r="B23" s="20" t="s">
        <v>51</v>
      </c>
      <c r="C23" s="14"/>
      <c r="D23" s="97" t="s">
        <v>48</v>
      </c>
      <c r="E23" s="100"/>
      <c r="F23" s="104"/>
      <c r="G23" s="98"/>
      <c r="H23" s="98"/>
      <c r="I23" s="98"/>
      <c r="J23" s="100"/>
      <c r="K23" s="99"/>
      <c r="L23" s="104"/>
      <c r="M23" s="98"/>
      <c r="N23" s="99"/>
      <c r="O23" s="104"/>
      <c r="P23" s="98"/>
      <c r="Q23" s="100"/>
      <c r="R23" s="107"/>
    </row>
    <row r="24" spans="2:18">
      <c r="B24" s="93"/>
      <c r="C24" s="91"/>
      <c r="D24" s="91"/>
      <c r="E24" s="101" t="s">
        <v>85</v>
      </c>
      <c r="F24" s="213" t="e">
        <f>ROUND(SUM(O44:O49)/1000+((E129*1.5+E129*1.7)*365*F129/1000*0.4),3)</f>
        <v>#REF!</v>
      </c>
      <c r="G24" s="91" t="e">
        <f>VLOOKUP(E24,#REF!,2,FALSE)</f>
        <v>#REF!</v>
      </c>
      <c r="H24" s="91" t="e">
        <f>VLOOKUP(E24,#REF!,3,FALSE)</f>
        <v>#REF!</v>
      </c>
      <c r="I24" s="91" t="e">
        <f>VLOOKUP(E24,#REF!,4,FALSE)</f>
        <v>#REF!</v>
      </c>
      <c r="J24" s="101" t="e">
        <f>VLOOKUP(E24,#REF!,5,FALSE)</f>
        <v>#REF!</v>
      </c>
      <c r="K24" s="92" t="e">
        <f t="shared" ref="K24:K30" si="10">F24*J24*H24</f>
        <v>#REF!</v>
      </c>
      <c r="L24" s="93" t="e">
        <f>VLOOKUP(E24,#REF!,7,FALSE)</f>
        <v>#REF!</v>
      </c>
      <c r="M24" s="91" t="e">
        <f>VLOOKUP(E24,#REF!,9,FALSE)</f>
        <v>#REF!</v>
      </c>
      <c r="N24" s="92" t="e">
        <f>VLOOKUP(E24,#REF!,11,FALSE)</f>
        <v>#REF!</v>
      </c>
      <c r="O24" s="93" t="e">
        <f>ROUND(K24*L24/1000,0)</f>
        <v>#REF!</v>
      </c>
      <c r="P24" s="91" t="e">
        <f t="shared" ref="P24:P30" si="11">ROUND(M24*K24/1000,3)</f>
        <v>#REF!</v>
      </c>
      <c r="Q24" s="101" t="e">
        <f t="shared" ref="Q24:Q30" si="12">ROUND(K24*N24/1000,3)</f>
        <v>#REF!</v>
      </c>
      <c r="R24" s="108" t="e">
        <f t="shared" ref="R24:R30" si="13">ROUND(O24+P24*GWP_CH4+Q24*GWP_N2O,0)</f>
        <v>#REF!</v>
      </c>
    </row>
    <row r="25" spans="2:18">
      <c r="B25" s="93"/>
      <c r="C25" s="91"/>
      <c r="D25" s="91"/>
      <c r="E25" s="101" t="s">
        <v>84</v>
      </c>
      <c r="F25" s="93" t="e">
        <f>ROUND(SUM(O52:O57)/1000+((E129*1.5+E129*1.7)*365*F129/1000*0.5),3)</f>
        <v>#REF!</v>
      </c>
      <c r="G25" s="91" t="e">
        <f>VLOOKUP(E25,#REF!,2,FALSE)</f>
        <v>#REF!</v>
      </c>
      <c r="H25" s="91" t="e">
        <f>VLOOKUP(E25,#REF!,3,FALSE)</f>
        <v>#REF!</v>
      </c>
      <c r="I25" s="91" t="e">
        <f>VLOOKUP(E25,#REF!,4,FALSE)</f>
        <v>#REF!</v>
      </c>
      <c r="J25" s="101" t="e">
        <f>VLOOKUP(E25,#REF!,5,FALSE)</f>
        <v>#REF!</v>
      </c>
      <c r="K25" s="92" t="e">
        <f t="shared" si="10"/>
        <v>#REF!</v>
      </c>
      <c r="L25" s="93" t="e">
        <f>VLOOKUP(E25,#REF!,7,FALSE)</f>
        <v>#REF!</v>
      </c>
      <c r="M25" s="91" t="e">
        <f>VLOOKUP(E25,#REF!,9,FALSE)</f>
        <v>#REF!</v>
      </c>
      <c r="N25" s="92" t="e">
        <f>VLOOKUP(E25,#REF!,11,FALSE)</f>
        <v>#REF!</v>
      </c>
      <c r="O25" s="93" t="e">
        <f t="shared" ref="O25:O30" si="14">ROUND(K25*L25/1000,0)</f>
        <v>#REF!</v>
      </c>
      <c r="P25" s="91" t="e">
        <f t="shared" si="11"/>
        <v>#REF!</v>
      </c>
      <c r="Q25" s="101" t="e">
        <f t="shared" si="12"/>
        <v>#REF!</v>
      </c>
      <c r="R25" s="108" t="e">
        <f t="shared" si="13"/>
        <v>#REF!</v>
      </c>
    </row>
    <row r="26" spans="2:18">
      <c r="B26" s="93"/>
      <c r="C26" s="91"/>
      <c r="D26" s="91"/>
      <c r="E26" s="101" t="s">
        <v>83</v>
      </c>
      <c r="F26" s="93" t="e">
        <f>ROUND(SUM(O60:O65)/1000+((E129*1.5+E129*1.7)*365*F129/1000*0.1),3)</f>
        <v>#REF!</v>
      </c>
      <c r="G26" s="91" t="e">
        <f>VLOOKUP(E26,#REF!,2,FALSE)</f>
        <v>#REF!</v>
      </c>
      <c r="H26" s="91" t="e">
        <f>VLOOKUP(E26,#REF!,3,FALSE)</f>
        <v>#REF!</v>
      </c>
      <c r="I26" s="91" t="e">
        <f>VLOOKUP(E26,#REF!,4,FALSE)</f>
        <v>#REF!</v>
      </c>
      <c r="J26" s="101" t="e">
        <f>VLOOKUP(E26,#REF!,5,FALSE)</f>
        <v>#REF!</v>
      </c>
      <c r="K26" s="92" t="e">
        <f t="shared" si="10"/>
        <v>#REF!</v>
      </c>
      <c r="L26" s="93" t="e">
        <f>VLOOKUP(E26,#REF!,7,FALSE)</f>
        <v>#REF!</v>
      </c>
      <c r="M26" s="91" t="e">
        <f>VLOOKUP(E26,#REF!,9,FALSE)</f>
        <v>#REF!</v>
      </c>
      <c r="N26" s="92" t="e">
        <f>VLOOKUP(E26,#REF!,11,FALSE)</f>
        <v>#REF!</v>
      </c>
      <c r="O26" s="93" t="e">
        <f t="shared" si="14"/>
        <v>#REF!</v>
      </c>
      <c r="P26" s="91" t="e">
        <f t="shared" si="11"/>
        <v>#REF!</v>
      </c>
      <c r="Q26" s="101" t="e">
        <f t="shared" si="12"/>
        <v>#REF!</v>
      </c>
      <c r="R26" s="108" t="e">
        <f t="shared" si="13"/>
        <v>#REF!</v>
      </c>
    </row>
    <row r="27" spans="2:18">
      <c r="B27" s="93"/>
      <c r="C27" s="91"/>
      <c r="D27" s="91"/>
      <c r="E27" s="101" t="s">
        <v>80</v>
      </c>
      <c r="F27" s="93" t="e">
        <f>ROUND(SUM(O68:O73)/1000,3)</f>
        <v>#REF!</v>
      </c>
      <c r="G27" s="91" t="e">
        <f>VLOOKUP(E27,#REF!,2,FALSE)</f>
        <v>#REF!</v>
      </c>
      <c r="H27" s="91" t="e">
        <f>VLOOKUP(E27,#REF!,3,FALSE)</f>
        <v>#REF!</v>
      </c>
      <c r="I27" s="91" t="e">
        <f>VLOOKUP(E27,#REF!,4,FALSE)</f>
        <v>#REF!</v>
      </c>
      <c r="J27" s="101" t="e">
        <f>VLOOKUP(E27,#REF!,5,FALSE)</f>
        <v>#REF!</v>
      </c>
      <c r="K27" s="92" t="e">
        <f t="shared" si="10"/>
        <v>#REF!</v>
      </c>
      <c r="L27" s="93" t="e">
        <f>VLOOKUP(E27,#REF!,7,FALSE)</f>
        <v>#REF!</v>
      </c>
      <c r="M27" s="91" t="e">
        <f>VLOOKUP(E27,#REF!,9,FALSE)</f>
        <v>#REF!</v>
      </c>
      <c r="N27" s="92" t="e">
        <f>VLOOKUP(E27,#REF!,11,FALSE)</f>
        <v>#REF!</v>
      </c>
      <c r="O27" s="93" t="e">
        <f t="shared" si="14"/>
        <v>#REF!</v>
      </c>
      <c r="P27" s="91" t="e">
        <f t="shared" si="11"/>
        <v>#REF!</v>
      </c>
      <c r="Q27" s="101" t="e">
        <f t="shared" si="12"/>
        <v>#REF!</v>
      </c>
      <c r="R27" s="108" t="e">
        <f t="shared" si="13"/>
        <v>#REF!</v>
      </c>
    </row>
    <row r="28" spans="2:18">
      <c r="B28" s="93"/>
      <c r="C28" s="91"/>
      <c r="D28" s="91"/>
      <c r="E28" s="101" t="s">
        <v>162</v>
      </c>
      <c r="F28" s="93" t="e">
        <f>ROUND(SUM(O84:O89)/1000,3)</f>
        <v>#REF!</v>
      </c>
      <c r="G28" s="91" t="e">
        <f>VLOOKUP(E28,#REF!,2,FALSE)</f>
        <v>#REF!</v>
      </c>
      <c r="H28" s="91" t="e">
        <f>VLOOKUP(E28,#REF!,3,FALSE)</f>
        <v>#REF!</v>
      </c>
      <c r="I28" s="91" t="e">
        <f>VLOOKUP(E28,#REF!,4,FALSE)</f>
        <v>#REF!</v>
      </c>
      <c r="J28" s="101" t="e">
        <f>VLOOKUP(E28,#REF!,5,FALSE)</f>
        <v>#REF!</v>
      </c>
      <c r="K28" s="92" t="e">
        <f t="shared" si="10"/>
        <v>#REF!</v>
      </c>
      <c r="L28" s="93" t="e">
        <f>VLOOKUP(E28,#REF!,7,FALSE)</f>
        <v>#REF!</v>
      </c>
      <c r="M28" s="91" t="e">
        <f>VLOOKUP(E28,#REF!,9,FALSE)</f>
        <v>#REF!</v>
      </c>
      <c r="N28" s="92" t="e">
        <f>VLOOKUP(E28,#REF!,11,FALSE)</f>
        <v>#REF!</v>
      </c>
      <c r="O28" s="93" t="e">
        <f t="shared" si="14"/>
        <v>#REF!</v>
      </c>
      <c r="P28" s="91" t="e">
        <f t="shared" si="11"/>
        <v>#REF!</v>
      </c>
      <c r="Q28" s="101" t="e">
        <f t="shared" si="12"/>
        <v>#REF!</v>
      </c>
      <c r="R28" s="108" t="e">
        <f t="shared" si="13"/>
        <v>#REF!</v>
      </c>
    </row>
    <row r="29" spans="2:18">
      <c r="B29" s="93"/>
      <c r="C29" s="91"/>
      <c r="D29" s="91"/>
      <c r="E29" s="101" t="s">
        <v>161</v>
      </c>
      <c r="F29" s="93" t="e">
        <f>ROUND(SUM(O76:O81)/1000,3)</f>
        <v>#REF!</v>
      </c>
      <c r="G29" s="91" t="e">
        <f>VLOOKUP(E29,#REF!,2,FALSE)</f>
        <v>#REF!</v>
      </c>
      <c r="H29" s="91" t="e">
        <f>VLOOKUP(E29,#REF!,3,FALSE)</f>
        <v>#REF!</v>
      </c>
      <c r="I29" s="91" t="e">
        <f>VLOOKUP(E29,#REF!,4,FALSE)</f>
        <v>#REF!</v>
      </c>
      <c r="J29" s="101" t="e">
        <f>VLOOKUP(E29,#REF!,5,FALSE)</f>
        <v>#REF!</v>
      </c>
      <c r="K29" s="92" t="e">
        <f t="shared" si="10"/>
        <v>#REF!</v>
      </c>
      <c r="L29" s="93" t="e">
        <f>VLOOKUP(E29,#REF!,7,FALSE)</f>
        <v>#REF!</v>
      </c>
      <c r="M29" s="91" t="e">
        <f>VLOOKUP(E29,#REF!,9,FALSE)</f>
        <v>#REF!</v>
      </c>
      <c r="N29" s="92" t="e">
        <f>VLOOKUP(E29,#REF!,11,FALSE)</f>
        <v>#REF!</v>
      </c>
      <c r="O29" s="93" t="e">
        <f t="shared" si="14"/>
        <v>#REF!</v>
      </c>
      <c r="P29" s="91" t="e">
        <f t="shared" si="11"/>
        <v>#REF!</v>
      </c>
      <c r="Q29" s="101" t="e">
        <f t="shared" si="12"/>
        <v>#REF!</v>
      </c>
      <c r="R29" s="108" t="e">
        <f t="shared" si="13"/>
        <v>#REF!</v>
      </c>
    </row>
    <row r="30" spans="2:18">
      <c r="B30" s="93"/>
      <c r="C30" s="91"/>
      <c r="D30" s="91"/>
      <c r="E30" s="101" t="s">
        <v>77</v>
      </c>
      <c r="F30" s="93" t="e">
        <f>ROUND(SUM(O92:O97)/1000,3)</f>
        <v>#REF!</v>
      </c>
      <c r="G30" s="91" t="e">
        <f>VLOOKUP(E30,#REF!,2,FALSE)</f>
        <v>#REF!</v>
      </c>
      <c r="H30" s="91" t="e">
        <f>VLOOKUP(E30,#REF!,3,FALSE)</f>
        <v>#REF!</v>
      </c>
      <c r="I30" s="91" t="e">
        <f>VLOOKUP(E30,#REF!,4,FALSE)</f>
        <v>#REF!</v>
      </c>
      <c r="J30" s="101" t="e">
        <f>VLOOKUP(E30,#REF!,5,FALSE)</f>
        <v>#REF!</v>
      </c>
      <c r="K30" s="92" t="e">
        <f t="shared" si="10"/>
        <v>#REF!</v>
      </c>
      <c r="L30" s="93" t="e">
        <f>VLOOKUP(E30,#REF!,7,FALSE)</f>
        <v>#REF!</v>
      </c>
      <c r="M30" s="91" t="e">
        <f>VLOOKUP(E30,#REF!,9,FALSE)</f>
        <v>#REF!</v>
      </c>
      <c r="N30" s="92" t="e">
        <f>VLOOKUP(E30,#REF!,11,FALSE)</f>
        <v>#REF!</v>
      </c>
      <c r="O30" s="93" t="e">
        <f t="shared" si="14"/>
        <v>#REF!</v>
      </c>
      <c r="P30" s="91" t="e">
        <f t="shared" si="11"/>
        <v>#REF!</v>
      </c>
      <c r="Q30" s="101" t="e">
        <f t="shared" si="12"/>
        <v>#REF!</v>
      </c>
      <c r="R30" s="108" t="e">
        <f t="shared" si="13"/>
        <v>#REF!</v>
      </c>
    </row>
    <row r="31" spans="2:18">
      <c r="B31" s="20" t="s">
        <v>27</v>
      </c>
      <c r="C31" s="96" t="s">
        <v>71</v>
      </c>
      <c r="D31" s="97"/>
      <c r="E31" s="100"/>
      <c r="F31" s="104"/>
      <c r="G31" s="98"/>
      <c r="H31" s="98"/>
      <c r="I31" s="98"/>
      <c r="J31" s="100"/>
      <c r="K31" s="99"/>
      <c r="L31" s="104"/>
      <c r="M31" s="98"/>
      <c r="N31" s="99"/>
      <c r="O31" s="104"/>
      <c r="P31" s="98"/>
      <c r="Q31" s="100"/>
      <c r="R31" s="107"/>
    </row>
    <row r="32" spans="2:18">
      <c r="B32" s="20" t="s">
        <v>53</v>
      </c>
      <c r="C32" s="14"/>
      <c r="D32" s="97" t="s">
        <v>69</v>
      </c>
      <c r="E32" s="100"/>
      <c r="F32" s="104"/>
      <c r="G32" s="98"/>
      <c r="H32" s="98"/>
      <c r="I32" s="98"/>
      <c r="J32" s="100"/>
      <c r="K32" s="99"/>
      <c r="L32" s="104"/>
      <c r="M32" s="98"/>
      <c r="N32" s="99"/>
      <c r="O32" s="104"/>
      <c r="P32" s="98"/>
      <c r="Q32" s="100"/>
      <c r="R32" s="107"/>
    </row>
    <row r="33" spans="2:18">
      <c r="B33" s="93"/>
      <c r="C33" s="91"/>
      <c r="D33" s="91"/>
      <c r="E33" s="101" t="s">
        <v>77</v>
      </c>
      <c r="F33" s="199">
        <v>63968</v>
      </c>
      <c r="G33" s="91" t="e">
        <f>VLOOKUP(E33,#REF!,2,FALSE)</f>
        <v>#REF!</v>
      </c>
      <c r="H33" s="91" t="e">
        <f>VLOOKUP(E33,#REF!,3,FALSE)</f>
        <v>#REF!</v>
      </c>
      <c r="I33" s="91" t="e">
        <f>VLOOKUP(E33,#REF!,4,FALSE)</f>
        <v>#REF!</v>
      </c>
      <c r="J33" s="101" t="e">
        <f>VLOOKUP(E33,#REF!,5,FALSE)</f>
        <v>#REF!</v>
      </c>
      <c r="K33" s="92" t="e">
        <f>F33*J33*H33</f>
        <v>#REF!</v>
      </c>
      <c r="L33" s="93" t="e">
        <f>VLOOKUP(E33,#REF!,7,FALSE)</f>
        <v>#REF!</v>
      </c>
      <c r="M33" s="91" t="e">
        <f>VLOOKUP(E33,#REF!,9,FALSE)</f>
        <v>#REF!</v>
      </c>
      <c r="N33" s="92" t="e">
        <f>VLOOKUP(E33,#REF!,11,FALSE)</f>
        <v>#REF!</v>
      </c>
      <c r="O33" s="93" t="e">
        <f>ROUND(K33*L33/1000,0)</f>
        <v>#REF!</v>
      </c>
      <c r="P33" s="91" t="e">
        <f>ROUND(M33*K33/1000,3)</f>
        <v>#REF!</v>
      </c>
      <c r="Q33" s="101" t="e">
        <f>ROUND(K33*N33/1000,3)</f>
        <v>#REF!</v>
      </c>
      <c r="R33" s="108" t="e">
        <f>ROUND(O33+P33*GWP_CH4+Q33*GWP_N2O,0)</f>
        <v>#REF!</v>
      </c>
    </row>
    <row r="34" spans="2:18">
      <c r="B34" s="20" t="s">
        <v>159</v>
      </c>
      <c r="C34" s="14"/>
      <c r="D34" s="97" t="s">
        <v>73</v>
      </c>
      <c r="E34" s="100"/>
      <c r="F34" s="104"/>
      <c r="G34" s="98"/>
      <c r="H34" s="98"/>
      <c r="I34" s="98"/>
      <c r="J34" s="100"/>
      <c r="K34" s="99"/>
      <c r="L34" s="104"/>
      <c r="M34" s="98"/>
      <c r="N34" s="99"/>
      <c r="O34" s="104"/>
      <c r="P34" s="98"/>
      <c r="Q34" s="100"/>
      <c r="R34" s="107"/>
    </row>
    <row r="35" spans="2:18">
      <c r="B35" s="93"/>
      <c r="C35" s="91"/>
      <c r="D35" s="91"/>
      <c r="E35" s="101" t="s">
        <v>84</v>
      </c>
      <c r="F35" s="93" t="e">
        <f>ROUND(G126,3)</f>
        <v>#REF!</v>
      </c>
      <c r="G35" s="91" t="e">
        <f>VLOOKUP(E35,#REF!,2,FALSE)</f>
        <v>#REF!</v>
      </c>
      <c r="H35" s="91" t="e">
        <f>VLOOKUP(E35,#REF!,3,FALSE)</f>
        <v>#REF!</v>
      </c>
      <c r="I35" s="91" t="e">
        <f>VLOOKUP(E35,#REF!,4,FALSE)</f>
        <v>#REF!</v>
      </c>
      <c r="J35" s="101" t="e">
        <f>VLOOKUP(E35,#REF!,5,FALSE)</f>
        <v>#REF!</v>
      </c>
      <c r="K35" s="92" t="e">
        <f>F35*J35*H35</f>
        <v>#REF!</v>
      </c>
      <c r="L35" s="93" t="e">
        <f>VLOOKUP(E35,#REF!,7,FALSE)</f>
        <v>#REF!</v>
      </c>
      <c r="M35" s="91" t="e">
        <f>VLOOKUP(E35,#REF!,9,FALSE)</f>
        <v>#REF!</v>
      </c>
      <c r="N35" s="92" t="e">
        <f>VLOOKUP(E35,#REF!,11,FALSE)</f>
        <v>#REF!</v>
      </c>
      <c r="O35" s="93" t="e">
        <f>ROUND(K35*L35/1000,0)</f>
        <v>#REF!</v>
      </c>
      <c r="P35" s="91" t="e">
        <f>ROUND(M35*K35/1000,3)</f>
        <v>#REF!</v>
      </c>
      <c r="Q35" s="101" t="e">
        <f>ROUND(K35*N35/1000,3)</f>
        <v>#REF!</v>
      </c>
      <c r="R35" s="108" t="e">
        <f>ROUND(O35+P35*GWP_CH4+Q35*GWP_N2O,0)</f>
        <v>#REF!</v>
      </c>
    </row>
    <row r="36" spans="2:18">
      <c r="B36" s="93"/>
      <c r="C36" s="91"/>
      <c r="D36" s="91"/>
      <c r="E36" s="101" t="s">
        <v>77</v>
      </c>
      <c r="F36" s="93" t="e">
        <f>ROUND(H126,3)</f>
        <v>#REF!</v>
      </c>
      <c r="G36" s="91" t="e">
        <f>VLOOKUP(E36,#REF!,2,FALSE)</f>
        <v>#REF!</v>
      </c>
      <c r="H36" s="91" t="e">
        <f>VLOOKUP(E36,#REF!,3,FALSE)</f>
        <v>#REF!</v>
      </c>
      <c r="I36" s="91" t="e">
        <f>VLOOKUP(E36,#REF!,4,FALSE)</f>
        <v>#REF!</v>
      </c>
      <c r="J36" s="101" t="e">
        <f>VLOOKUP(E36,#REF!,5,FALSE)</f>
        <v>#REF!</v>
      </c>
      <c r="K36" s="92" t="e">
        <f>F36*J36*H36</f>
        <v>#REF!</v>
      </c>
      <c r="L36" s="93" t="e">
        <f>VLOOKUP(E36,#REF!,7,FALSE)</f>
        <v>#REF!</v>
      </c>
      <c r="M36" s="91" t="e">
        <f>VLOOKUP(E36,#REF!,9,FALSE)</f>
        <v>#REF!</v>
      </c>
      <c r="N36" s="92" t="e">
        <f>VLOOKUP(E36,#REF!,11,FALSE)</f>
        <v>#REF!</v>
      </c>
      <c r="O36" s="93" t="e">
        <f>ROUND(K36*L36/1000,0)</f>
        <v>#REF!</v>
      </c>
      <c r="P36" s="91" t="e">
        <f>ROUND(M36*K36/1000,3)</f>
        <v>#REF!</v>
      </c>
      <c r="Q36" s="101" t="e">
        <f>ROUND(K36*N36/1000,3)</f>
        <v>#REF!</v>
      </c>
      <c r="R36" s="108" t="e">
        <f>ROUND(O36+P36*GWP_CH4+Q36*GWP_N2O,0)</f>
        <v>#REF!</v>
      </c>
    </row>
    <row r="37" spans="2:18">
      <c r="B37" s="20" t="s">
        <v>160</v>
      </c>
      <c r="C37" s="14"/>
      <c r="D37" s="97" t="s">
        <v>70</v>
      </c>
      <c r="E37" s="100"/>
      <c r="F37" s="104"/>
      <c r="G37" s="98"/>
      <c r="H37" s="98"/>
      <c r="I37" s="98"/>
      <c r="J37" s="100"/>
      <c r="K37" s="99"/>
      <c r="L37" s="104"/>
      <c r="M37" s="98"/>
      <c r="N37" s="99"/>
      <c r="O37" s="104"/>
      <c r="P37" s="98"/>
      <c r="Q37" s="100"/>
      <c r="R37" s="107"/>
    </row>
    <row r="38" spans="2:18">
      <c r="B38" s="93"/>
      <c r="C38" s="91"/>
      <c r="D38" s="91"/>
      <c r="E38" s="101" t="s">
        <v>84</v>
      </c>
      <c r="F38" s="93"/>
      <c r="G38" s="91" t="e">
        <f>VLOOKUP(E38,#REF!,2,FALSE)</f>
        <v>#REF!</v>
      </c>
      <c r="H38" s="91" t="e">
        <f>VLOOKUP(E38,#REF!,3,FALSE)</f>
        <v>#REF!</v>
      </c>
      <c r="I38" s="91" t="e">
        <f>VLOOKUP(E38,#REF!,4,FALSE)</f>
        <v>#REF!</v>
      </c>
      <c r="J38" s="101" t="e">
        <f>VLOOKUP(E38,#REF!,5,FALSE)</f>
        <v>#REF!</v>
      </c>
      <c r="K38" s="92" t="e">
        <f>F38*J38*H38</f>
        <v>#REF!</v>
      </c>
      <c r="L38" s="93" t="e">
        <f>VLOOKUP(E38,#REF!,7,FALSE)</f>
        <v>#REF!</v>
      </c>
      <c r="M38" s="91" t="e">
        <f>VLOOKUP(E38,#REF!,9,FALSE)</f>
        <v>#REF!</v>
      </c>
      <c r="N38" s="92" t="e">
        <f>VLOOKUP(E38,#REF!,11,FALSE)</f>
        <v>#REF!</v>
      </c>
      <c r="O38" s="93" t="e">
        <f>ROUND(K38*L38/1000,0)</f>
        <v>#REF!</v>
      </c>
      <c r="P38" s="91" t="e">
        <f>ROUND(M38*K38/1000,3)</f>
        <v>#REF!</v>
      </c>
      <c r="Q38" s="101" t="e">
        <f>ROUND(K38*N38/1000,3)</f>
        <v>#REF!</v>
      </c>
      <c r="R38" s="108" t="e">
        <f>ROUND(O38+P38*GWP_CH4+Q38*GWP_N2O,0)</f>
        <v>#REF!</v>
      </c>
    </row>
    <row r="39" spans="2:18" ht="15.75" thickBot="1">
      <c r="B39" s="105"/>
      <c r="C39" s="94"/>
      <c r="D39" s="94"/>
      <c r="E39" s="95" t="s">
        <v>77</v>
      </c>
      <c r="F39" s="105"/>
      <c r="G39" s="94" t="e">
        <f>VLOOKUP(E39,#REF!,2,FALSE)</f>
        <v>#REF!</v>
      </c>
      <c r="H39" s="94" t="e">
        <f>VLOOKUP(E39,#REF!,3,FALSE)</f>
        <v>#REF!</v>
      </c>
      <c r="I39" s="94" t="e">
        <f>VLOOKUP(E39,#REF!,4,FALSE)</f>
        <v>#REF!</v>
      </c>
      <c r="J39" s="102" t="e">
        <f>VLOOKUP(E39,#REF!,5,FALSE)</f>
        <v>#REF!</v>
      </c>
      <c r="K39" s="95" t="e">
        <f>F39*J39*H39</f>
        <v>#REF!</v>
      </c>
      <c r="L39" s="105" t="e">
        <f>VLOOKUP(E39,#REF!,7,FALSE)</f>
        <v>#REF!</v>
      </c>
      <c r="M39" s="94" t="e">
        <f>VLOOKUP(E39,#REF!,9,FALSE)</f>
        <v>#REF!</v>
      </c>
      <c r="N39" s="95" t="e">
        <f>VLOOKUP(E39,#REF!,11,FALSE)</f>
        <v>#REF!</v>
      </c>
      <c r="O39" s="105" t="e">
        <f>ROUND(K39*L39/1000,0)</f>
        <v>#REF!</v>
      </c>
      <c r="P39" s="94" t="e">
        <f>ROUND(M39*K39/1000,3)</f>
        <v>#REF!</v>
      </c>
      <c r="Q39" s="102" t="e">
        <f>ROUND(K39*N39/1000,3)</f>
        <v>#REF!</v>
      </c>
      <c r="R39" s="109" t="e">
        <f>ROUND(O39+P39*GWP_CH4+Q39*GWP_N2O,0)</f>
        <v>#REF!</v>
      </c>
    </row>
    <row r="40" spans="2:18" ht="15.75" thickBot="1"/>
    <row r="41" spans="2:18" ht="15.75" thickBot="1">
      <c r="B41" s="607" t="s">
        <v>181</v>
      </c>
      <c r="C41" s="608"/>
      <c r="D41" s="608"/>
      <c r="E41" s="608"/>
      <c r="F41" s="608"/>
      <c r="G41" s="608"/>
      <c r="I41" s="604" t="s">
        <v>182</v>
      </c>
      <c r="J41" s="605"/>
      <c r="K41" s="605"/>
      <c r="L41" s="605"/>
      <c r="M41" s="605"/>
      <c r="N41" s="605"/>
      <c r="O41" s="606"/>
    </row>
    <row r="42" spans="2:18">
      <c r="B42" s="186"/>
      <c r="C42" s="602" t="s">
        <v>163</v>
      </c>
      <c r="D42" s="602"/>
      <c r="E42" s="602"/>
      <c r="F42" s="602"/>
      <c r="G42" s="183"/>
      <c r="H42" s="182"/>
      <c r="I42" s="186"/>
      <c r="J42" s="197"/>
      <c r="K42" s="602" t="s">
        <v>163</v>
      </c>
      <c r="L42" s="602"/>
      <c r="M42" s="602"/>
      <c r="N42" s="602"/>
      <c r="O42" s="183"/>
    </row>
    <row r="43" spans="2:18">
      <c r="B43" s="187" t="s">
        <v>180</v>
      </c>
      <c r="C43" s="181" t="s">
        <v>170</v>
      </c>
      <c r="D43" s="181" t="s">
        <v>171</v>
      </c>
      <c r="E43" s="181" t="s">
        <v>172</v>
      </c>
      <c r="F43" s="181" t="s">
        <v>173</v>
      </c>
      <c r="G43" s="184" t="s">
        <v>98</v>
      </c>
      <c r="I43" s="187" t="s">
        <v>180</v>
      </c>
      <c r="J43" s="181"/>
      <c r="K43" s="181" t="s">
        <v>170</v>
      </c>
      <c r="L43" s="181" t="s">
        <v>171</v>
      </c>
      <c r="M43" s="181" t="s">
        <v>172</v>
      </c>
      <c r="N43" s="181" t="s">
        <v>173</v>
      </c>
      <c r="O43" s="184" t="s">
        <v>98</v>
      </c>
    </row>
    <row r="44" spans="2:18">
      <c r="B44" s="188" t="s">
        <v>174</v>
      </c>
      <c r="C44" s="189">
        <v>1</v>
      </c>
      <c r="D44" s="189"/>
      <c r="E44" s="189">
        <v>18</v>
      </c>
      <c r="F44" s="189"/>
      <c r="G44" s="194">
        <f t="shared" ref="G44:G49" si="15">SUM(C44:F44)</f>
        <v>19</v>
      </c>
      <c r="I44" s="188" t="s">
        <v>174</v>
      </c>
      <c r="J44" s="196"/>
      <c r="K44" s="189" t="e">
        <f>C44*#REF!*#REF!/100</f>
        <v>#REF!</v>
      </c>
      <c r="L44" s="189" t="e">
        <f>D44*#REF!*#REF!/100</f>
        <v>#REF!</v>
      </c>
      <c r="M44" s="189" t="e">
        <f>E44*#REF!*#REF!/100</f>
        <v>#REF!</v>
      </c>
      <c r="N44" s="189" t="e">
        <f>F44*#REF!*#REF!/100</f>
        <v>#REF!</v>
      </c>
      <c r="O44" s="194" t="e">
        <f t="shared" ref="O44:O49" si="16">SUM(K44:N44)</f>
        <v>#REF!</v>
      </c>
    </row>
    <row r="45" spans="2:18">
      <c r="B45" s="188" t="s">
        <v>175</v>
      </c>
      <c r="C45" s="189"/>
      <c r="D45" s="189"/>
      <c r="E45" s="189">
        <v>20</v>
      </c>
      <c r="F45" s="189"/>
      <c r="G45" s="194">
        <f t="shared" si="15"/>
        <v>20</v>
      </c>
      <c r="I45" s="188" t="s">
        <v>175</v>
      </c>
      <c r="J45" s="196"/>
      <c r="K45" s="189" t="e">
        <f>C45*#REF!*#REF!/100</f>
        <v>#REF!</v>
      </c>
      <c r="L45" s="189" t="e">
        <f>D45*#REF!*#REF!/100</f>
        <v>#REF!</v>
      </c>
      <c r="M45" s="189" t="e">
        <f>E45*#REF!*#REF!/100</f>
        <v>#REF!</v>
      </c>
      <c r="N45" s="189" t="e">
        <f>F45*#REF!*#REF!/100</f>
        <v>#REF!</v>
      </c>
      <c r="O45" s="194" t="e">
        <f t="shared" si="16"/>
        <v>#REF!</v>
      </c>
    </row>
    <row r="46" spans="2:18">
      <c r="B46" s="188" t="s">
        <v>176</v>
      </c>
      <c r="C46" s="189">
        <v>11902</v>
      </c>
      <c r="D46" s="189">
        <v>391</v>
      </c>
      <c r="E46" s="189">
        <v>14</v>
      </c>
      <c r="F46" s="189">
        <v>144</v>
      </c>
      <c r="G46" s="194">
        <f t="shared" si="15"/>
        <v>12451</v>
      </c>
      <c r="I46" s="188" t="s">
        <v>176</v>
      </c>
      <c r="J46" s="196"/>
      <c r="K46" s="189" t="e">
        <f>C46*#REF!*#REF!/100</f>
        <v>#REF!</v>
      </c>
      <c r="L46" s="189" t="e">
        <f>D46*#REF!*#REF!/100</f>
        <v>#REF!</v>
      </c>
      <c r="M46" s="189" t="e">
        <f>E46*#REF!*#REF!/100</f>
        <v>#REF!</v>
      </c>
      <c r="N46" s="189" t="e">
        <f>F46*#REF!*#REF!/100</f>
        <v>#REF!</v>
      </c>
      <c r="O46" s="194" t="e">
        <f t="shared" si="16"/>
        <v>#REF!</v>
      </c>
    </row>
    <row r="47" spans="2:18">
      <c r="B47" s="188" t="s">
        <v>177</v>
      </c>
      <c r="C47" s="189">
        <v>3790</v>
      </c>
      <c r="D47" s="189">
        <v>4529</v>
      </c>
      <c r="E47" s="189">
        <v>4101</v>
      </c>
      <c r="F47" s="189"/>
      <c r="G47" s="194">
        <f t="shared" si="15"/>
        <v>12420</v>
      </c>
      <c r="I47" s="188" t="s">
        <v>177</v>
      </c>
      <c r="J47" s="196"/>
      <c r="K47" s="189" t="e">
        <f>C47*#REF!*#REF!/100</f>
        <v>#REF!</v>
      </c>
      <c r="L47" s="189" t="e">
        <f>D47*#REF!*#REF!/100</f>
        <v>#REF!</v>
      </c>
      <c r="M47" s="189" t="e">
        <f>E47*#REF!*#REF!/100</f>
        <v>#REF!</v>
      </c>
      <c r="N47" s="189" t="e">
        <f>F47*#REF!*#REF!/100</f>
        <v>#REF!</v>
      </c>
      <c r="O47" s="194" t="e">
        <f t="shared" si="16"/>
        <v>#REF!</v>
      </c>
    </row>
    <row r="48" spans="2:18">
      <c r="B48" s="188" t="s">
        <v>178</v>
      </c>
      <c r="C48" s="189">
        <v>102198</v>
      </c>
      <c r="D48" s="189">
        <v>76489</v>
      </c>
      <c r="E48" s="189">
        <v>8162</v>
      </c>
      <c r="F48" s="189"/>
      <c r="G48" s="194">
        <f t="shared" si="15"/>
        <v>186849</v>
      </c>
      <c r="I48" s="188" t="s">
        <v>178</v>
      </c>
      <c r="J48" s="196"/>
      <c r="K48" s="189" t="e">
        <f>C48*#REF!*#REF!/100</f>
        <v>#REF!</v>
      </c>
      <c r="L48" s="189" t="e">
        <f>D48*#REF!*#REF!/100</f>
        <v>#REF!</v>
      </c>
      <c r="M48" s="189" t="e">
        <f>E48*#REF!*#REF!/100</f>
        <v>#REF!</v>
      </c>
      <c r="N48" s="189" t="e">
        <f>F48*#REF!*#REF!/100</f>
        <v>#REF!</v>
      </c>
      <c r="O48" s="194" t="e">
        <f t="shared" si="16"/>
        <v>#REF!</v>
      </c>
    </row>
    <row r="49" spans="2:15">
      <c r="B49" s="188" t="s">
        <v>179</v>
      </c>
      <c r="C49" s="189">
        <v>2</v>
      </c>
      <c r="D49" s="189">
        <v>90</v>
      </c>
      <c r="E49" s="189">
        <v>223</v>
      </c>
      <c r="F49" s="189"/>
      <c r="G49" s="194">
        <f t="shared" si="15"/>
        <v>315</v>
      </c>
      <c r="I49" s="188" t="s">
        <v>179</v>
      </c>
      <c r="J49" s="196"/>
      <c r="K49" s="189" t="e">
        <f>C49*#REF!*#REF!/100</f>
        <v>#REF!</v>
      </c>
      <c r="L49" s="189" t="e">
        <f>D49*#REF!*#REF!/100</f>
        <v>#REF!</v>
      </c>
      <c r="M49" s="189" t="e">
        <f>E49*#REF!*#REF!/100</f>
        <v>#REF!</v>
      </c>
      <c r="N49" s="189" t="e">
        <f>F49*#REF!*#REF!/100</f>
        <v>#REF!</v>
      </c>
      <c r="O49" s="194" t="e">
        <f t="shared" si="16"/>
        <v>#REF!</v>
      </c>
    </row>
    <row r="50" spans="2:15">
      <c r="B50" s="190"/>
      <c r="C50" s="603" t="s">
        <v>169</v>
      </c>
      <c r="D50" s="603"/>
      <c r="E50" s="603"/>
      <c r="F50" s="603"/>
      <c r="G50" s="185"/>
      <c r="I50" s="190"/>
      <c r="J50" s="191"/>
      <c r="K50" s="603" t="s">
        <v>169</v>
      </c>
      <c r="L50" s="603"/>
      <c r="M50" s="603"/>
      <c r="N50" s="603"/>
      <c r="O50" s="185"/>
    </row>
    <row r="51" spans="2:15">
      <c r="B51" s="187" t="s">
        <v>180</v>
      </c>
      <c r="C51" s="181" t="s">
        <v>170</v>
      </c>
      <c r="D51" s="181" t="s">
        <v>171</v>
      </c>
      <c r="E51" s="181" t="s">
        <v>172</v>
      </c>
      <c r="F51" s="181" t="s">
        <v>173</v>
      </c>
      <c r="G51" s="184" t="s">
        <v>98</v>
      </c>
      <c r="I51" s="187" t="s">
        <v>180</v>
      </c>
      <c r="J51" s="181"/>
      <c r="K51" s="181" t="s">
        <v>170</v>
      </c>
      <c r="L51" s="181" t="s">
        <v>171</v>
      </c>
      <c r="M51" s="181" t="s">
        <v>172</v>
      </c>
      <c r="N51" s="181" t="s">
        <v>173</v>
      </c>
      <c r="O51" s="184" t="s">
        <v>98</v>
      </c>
    </row>
    <row r="52" spans="2:15">
      <c r="B52" s="188" t="s">
        <v>174</v>
      </c>
      <c r="C52" s="189">
        <v>2</v>
      </c>
      <c r="D52" s="189">
        <v>2</v>
      </c>
      <c r="E52" s="189">
        <v>1899</v>
      </c>
      <c r="F52" s="189">
        <v>30</v>
      </c>
      <c r="G52" s="194">
        <f t="shared" ref="G52:G57" si="17">SUM(C52:F52)</f>
        <v>1933</v>
      </c>
      <c r="I52" s="188" t="s">
        <v>174</v>
      </c>
      <c r="J52" s="196"/>
      <c r="K52" s="189" t="e">
        <f>C52*#REF!*#REF!/100</f>
        <v>#REF!</v>
      </c>
      <c r="L52" s="189" t="e">
        <f>D52*#REF!*#REF!/100</f>
        <v>#REF!</v>
      </c>
      <c r="M52" s="189" t="e">
        <f>E52*#REF!*#REF!/100</f>
        <v>#REF!</v>
      </c>
      <c r="N52" s="189" t="e">
        <f>F52*#REF!*#REF!/100</f>
        <v>#REF!</v>
      </c>
      <c r="O52" s="194" t="e">
        <f t="shared" ref="O52:O57" si="18">SUM(K52:N52)</f>
        <v>#REF!</v>
      </c>
    </row>
    <row r="53" spans="2:15">
      <c r="B53" s="188" t="s">
        <v>175</v>
      </c>
      <c r="C53" s="189">
        <v>3</v>
      </c>
      <c r="D53" s="189">
        <v>2</v>
      </c>
      <c r="E53" s="189">
        <v>4035</v>
      </c>
      <c r="F53" s="189">
        <v>13</v>
      </c>
      <c r="G53" s="194">
        <f t="shared" si="17"/>
        <v>4053</v>
      </c>
      <c r="I53" s="188" t="s">
        <v>175</v>
      </c>
      <c r="J53" s="196"/>
      <c r="K53" s="189" t="e">
        <f>C53*#REF!*#REF!/100</f>
        <v>#REF!</v>
      </c>
      <c r="L53" s="189" t="e">
        <f>D53*#REF!*#REF!/100</f>
        <v>#REF!</v>
      </c>
      <c r="M53" s="189" t="e">
        <f>E53*#REF!*#REF!/100</f>
        <v>#REF!</v>
      </c>
      <c r="N53" s="189" t="e">
        <f>F53*#REF!*#REF!/100</f>
        <v>#REF!</v>
      </c>
      <c r="O53" s="194" t="e">
        <f t="shared" si="18"/>
        <v>#REF!</v>
      </c>
    </row>
    <row r="54" spans="2:15">
      <c r="B54" s="188" t="s">
        <v>176</v>
      </c>
      <c r="C54" s="189">
        <v>5</v>
      </c>
      <c r="D54" s="189"/>
      <c r="E54" s="189"/>
      <c r="F54" s="189"/>
      <c r="G54" s="194">
        <f t="shared" si="17"/>
        <v>5</v>
      </c>
      <c r="I54" s="188" t="s">
        <v>176</v>
      </c>
      <c r="J54" s="196"/>
      <c r="K54" s="189" t="e">
        <f>C54*#REF!*#REF!/100</f>
        <v>#REF!</v>
      </c>
      <c r="L54" s="189" t="e">
        <f>D54*#REF!*#REF!/100</f>
        <v>#REF!</v>
      </c>
      <c r="M54" s="189" t="e">
        <f>E54*#REF!*#REF!/100</f>
        <v>#REF!</v>
      </c>
      <c r="N54" s="189" t="e">
        <f>F54*#REF!*#REF!/100</f>
        <v>#REF!</v>
      </c>
      <c r="O54" s="194" t="e">
        <f t="shared" si="18"/>
        <v>#REF!</v>
      </c>
    </row>
    <row r="55" spans="2:15">
      <c r="B55" s="188" t="s">
        <v>177</v>
      </c>
      <c r="C55" s="189">
        <v>2388</v>
      </c>
      <c r="D55" s="189">
        <v>12340</v>
      </c>
      <c r="E55" s="189">
        <v>29824</v>
      </c>
      <c r="F55" s="189">
        <v>429</v>
      </c>
      <c r="G55" s="194">
        <f t="shared" si="17"/>
        <v>44981</v>
      </c>
      <c r="I55" s="188" t="s">
        <v>177</v>
      </c>
      <c r="J55" s="196"/>
      <c r="K55" s="189" t="e">
        <f>C55*#REF!*#REF!/100</f>
        <v>#REF!</v>
      </c>
      <c r="L55" s="189" t="e">
        <f>D55*#REF!*#REF!/100</f>
        <v>#REF!</v>
      </c>
      <c r="M55" s="189" t="e">
        <f>E55*#REF!*#REF!/100</f>
        <v>#REF!</v>
      </c>
      <c r="N55" s="189" t="e">
        <f>F55*#REF!*#REF!/100</f>
        <v>#REF!</v>
      </c>
      <c r="O55" s="194" t="e">
        <f t="shared" si="18"/>
        <v>#REF!</v>
      </c>
    </row>
    <row r="56" spans="2:15">
      <c r="B56" s="188" t="s">
        <v>178</v>
      </c>
      <c r="C56" s="189">
        <v>31851</v>
      </c>
      <c r="D56" s="189">
        <v>84935</v>
      </c>
      <c r="E56" s="189">
        <v>19514</v>
      </c>
      <c r="F56" s="189">
        <v>1317</v>
      </c>
      <c r="G56" s="194">
        <f t="shared" si="17"/>
        <v>137617</v>
      </c>
      <c r="I56" s="188" t="s">
        <v>178</v>
      </c>
      <c r="J56" s="196"/>
      <c r="K56" s="189" t="e">
        <f>C56*#REF!*#REF!/100</f>
        <v>#REF!</v>
      </c>
      <c r="L56" s="189" t="e">
        <f>D56*#REF!*#REF!/100</f>
        <v>#REF!</v>
      </c>
      <c r="M56" s="189" t="e">
        <f>E56*#REF!*#REF!/100</f>
        <v>#REF!</v>
      </c>
      <c r="N56" s="189" t="e">
        <f>F56*#REF!*#REF!/100</f>
        <v>#REF!</v>
      </c>
      <c r="O56" s="194" t="e">
        <f t="shared" si="18"/>
        <v>#REF!</v>
      </c>
    </row>
    <row r="57" spans="2:15">
      <c r="B57" s="188" t="s">
        <v>179</v>
      </c>
      <c r="C57" s="189">
        <v>37</v>
      </c>
      <c r="D57" s="189">
        <v>327</v>
      </c>
      <c r="E57" s="189">
        <v>2783</v>
      </c>
      <c r="F57" s="189">
        <v>203</v>
      </c>
      <c r="G57" s="194">
        <f t="shared" si="17"/>
        <v>3350</v>
      </c>
      <c r="I57" s="188" t="s">
        <v>179</v>
      </c>
      <c r="J57" s="196"/>
      <c r="K57" s="189" t="e">
        <f>C57*#REF!*#REF!/100</f>
        <v>#REF!</v>
      </c>
      <c r="L57" s="189" t="e">
        <f>D57*#REF!*#REF!/100</f>
        <v>#REF!</v>
      </c>
      <c r="M57" s="189" t="e">
        <f>E57*#REF!*#REF!/100</f>
        <v>#REF!</v>
      </c>
      <c r="N57" s="189" t="e">
        <f>F57*#REF!*#REF!/100</f>
        <v>#REF!</v>
      </c>
      <c r="O57" s="194" t="e">
        <f t="shared" si="18"/>
        <v>#REF!</v>
      </c>
    </row>
    <row r="58" spans="2:15">
      <c r="B58" s="190"/>
      <c r="C58" s="603" t="s">
        <v>167</v>
      </c>
      <c r="D58" s="603"/>
      <c r="E58" s="603"/>
      <c r="F58" s="191"/>
      <c r="G58" s="185"/>
      <c r="I58" s="190"/>
      <c r="J58" s="191"/>
      <c r="K58" s="603" t="s">
        <v>167</v>
      </c>
      <c r="L58" s="603"/>
      <c r="M58" s="603"/>
      <c r="N58" s="191"/>
      <c r="O58" s="185"/>
    </row>
    <row r="59" spans="2:15">
      <c r="B59" s="187" t="s">
        <v>180</v>
      </c>
      <c r="C59" s="181" t="s">
        <v>170</v>
      </c>
      <c r="D59" s="181" t="s">
        <v>171</v>
      </c>
      <c r="E59" s="181" t="s">
        <v>172</v>
      </c>
      <c r="F59" s="181" t="s">
        <v>173</v>
      </c>
      <c r="G59" s="184" t="s">
        <v>98</v>
      </c>
      <c r="I59" s="187" t="s">
        <v>180</v>
      </c>
      <c r="J59" s="181"/>
      <c r="K59" s="181" t="s">
        <v>170</v>
      </c>
      <c r="L59" s="181" t="s">
        <v>171</v>
      </c>
      <c r="M59" s="181" t="s">
        <v>172</v>
      </c>
      <c r="N59" s="181" t="s">
        <v>173</v>
      </c>
      <c r="O59" s="184" t="s">
        <v>98</v>
      </c>
    </row>
    <row r="60" spans="2:15">
      <c r="B60" s="188" t="s">
        <v>174</v>
      </c>
      <c r="C60" s="189"/>
      <c r="D60" s="189"/>
      <c r="E60" s="189"/>
      <c r="F60" s="189"/>
      <c r="G60" s="194">
        <f t="shared" ref="G60:G65" si="19">SUM(C60:F60)</f>
        <v>0</v>
      </c>
      <c r="I60" s="188" t="s">
        <v>174</v>
      </c>
      <c r="J60" s="196"/>
      <c r="K60" s="189" t="e">
        <f>C60*#REF!*#REF!/100</f>
        <v>#REF!</v>
      </c>
      <c r="L60" s="189" t="e">
        <f>D60*#REF!*#REF!/100</f>
        <v>#REF!</v>
      </c>
      <c r="M60" s="189" t="e">
        <f>E60*#REF!*#REF!/100</f>
        <v>#REF!</v>
      </c>
      <c r="N60" s="189" t="e">
        <f>F60*#REF!*#REF!/100</f>
        <v>#REF!</v>
      </c>
      <c r="O60" s="194" t="e">
        <f t="shared" ref="O60:O65" si="20">SUM(K60:N60)</f>
        <v>#REF!</v>
      </c>
    </row>
    <row r="61" spans="2:15">
      <c r="B61" s="188" t="s">
        <v>175</v>
      </c>
      <c r="C61" s="189"/>
      <c r="D61" s="189"/>
      <c r="E61" s="189">
        <v>3</v>
      </c>
      <c r="F61" s="189"/>
      <c r="G61" s="194">
        <f t="shared" si="19"/>
        <v>3</v>
      </c>
      <c r="I61" s="188" t="s">
        <v>175</v>
      </c>
      <c r="J61" s="196"/>
      <c r="K61" s="189" t="e">
        <f>C61*#REF!*#REF!/100</f>
        <v>#REF!</v>
      </c>
      <c r="L61" s="189" t="e">
        <f>D61*#REF!*#REF!/100</f>
        <v>#REF!</v>
      </c>
      <c r="M61" s="189" t="e">
        <f>E61*#REF!*#REF!/100</f>
        <v>#REF!</v>
      </c>
      <c r="N61" s="189" t="e">
        <f>F61*#REF!*#REF!/100</f>
        <v>#REF!</v>
      </c>
      <c r="O61" s="194" t="e">
        <f t="shared" si="20"/>
        <v>#REF!</v>
      </c>
    </row>
    <row r="62" spans="2:15">
      <c r="B62" s="188" t="s">
        <v>176</v>
      </c>
      <c r="C62" s="189"/>
      <c r="D62" s="189">
        <v>1</v>
      </c>
      <c r="E62" s="189"/>
      <c r="F62" s="189"/>
      <c r="G62" s="194">
        <f t="shared" si="19"/>
        <v>1</v>
      </c>
      <c r="I62" s="188" t="s">
        <v>176</v>
      </c>
      <c r="J62" s="196"/>
      <c r="K62" s="189" t="e">
        <f>C62*#REF!*#REF!/100</f>
        <v>#REF!</v>
      </c>
      <c r="L62" s="189" t="e">
        <f>D62*#REF!*#REF!/100</f>
        <v>#REF!</v>
      </c>
      <c r="M62" s="189" t="e">
        <f>E62*#REF!*#REF!/100</f>
        <v>#REF!</v>
      </c>
      <c r="N62" s="189" t="e">
        <f>F62*#REF!*#REF!/100</f>
        <v>#REF!</v>
      </c>
      <c r="O62" s="194" t="e">
        <f t="shared" si="20"/>
        <v>#REF!</v>
      </c>
    </row>
    <row r="63" spans="2:15">
      <c r="B63" s="188" t="s">
        <v>177</v>
      </c>
      <c r="C63" s="189">
        <v>1188</v>
      </c>
      <c r="D63" s="189">
        <v>839</v>
      </c>
      <c r="E63" s="189">
        <v>340</v>
      </c>
      <c r="F63" s="189"/>
      <c r="G63" s="194">
        <f t="shared" si="19"/>
        <v>2367</v>
      </c>
      <c r="I63" s="188" t="s">
        <v>177</v>
      </c>
      <c r="J63" s="196"/>
      <c r="K63" s="189" t="e">
        <f>C63*#REF!*#REF!/100</f>
        <v>#REF!</v>
      </c>
      <c r="L63" s="189" t="e">
        <f>D63*#REF!*#REF!/100</f>
        <v>#REF!</v>
      </c>
      <c r="M63" s="189" t="e">
        <f>E63*#REF!*#REF!/100</f>
        <v>#REF!</v>
      </c>
      <c r="N63" s="189" t="e">
        <f>F63*#REF!*#REF!/100</f>
        <v>#REF!</v>
      </c>
      <c r="O63" s="194" t="e">
        <f t="shared" si="20"/>
        <v>#REF!</v>
      </c>
    </row>
    <row r="64" spans="2:15">
      <c r="B64" s="188" t="s">
        <v>178</v>
      </c>
      <c r="C64" s="189">
        <v>6743</v>
      </c>
      <c r="D64" s="189">
        <v>16381</v>
      </c>
      <c r="E64" s="189">
        <v>3320</v>
      </c>
      <c r="F64" s="189"/>
      <c r="G64" s="194">
        <f t="shared" si="19"/>
        <v>26444</v>
      </c>
      <c r="I64" s="188" t="s">
        <v>178</v>
      </c>
      <c r="J64" s="196"/>
      <c r="K64" s="189" t="e">
        <f>C64*#REF!*#REF!/100</f>
        <v>#REF!</v>
      </c>
      <c r="L64" s="189" t="e">
        <f>D64*#REF!*#REF!/100</f>
        <v>#REF!</v>
      </c>
      <c r="M64" s="189" t="e">
        <f>E64*#REF!*#REF!/100</f>
        <v>#REF!</v>
      </c>
      <c r="N64" s="189" t="e">
        <f>F64*#REF!*#REF!/100</f>
        <v>#REF!</v>
      </c>
      <c r="O64" s="194" t="e">
        <f t="shared" si="20"/>
        <v>#REF!</v>
      </c>
    </row>
    <row r="65" spans="2:15">
      <c r="B65" s="188" t="s">
        <v>179</v>
      </c>
      <c r="C65" s="189">
        <v>10</v>
      </c>
      <c r="D65" s="189">
        <v>20</v>
      </c>
      <c r="E65" s="189">
        <v>19</v>
      </c>
      <c r="F65" s="189"/>
      <c r="G65" s="194">
        <f t="shared" si="19"/>
        <v>49</v>
      </c>
      <c r="I65" s="188" t="s">
        <v>179</v>
      </c>
      <c r="J65" s="196"/>
      <c r="K65" s="189" t="e">
        <f>C65*#REF!*#REF!/100</f>
        <v>#REF!</v>
      </c>
      <c r="L65" s="189" t="e">
        <f>D65*#REF!*#REF!/100</f>
        <v>#REF!</v>
      </c>
      <c r="M65" s="189" t="e">
        <f>E65*#REF!*#REF!/100</f>
        <v>#REF!</v>
      </c>
      <c r="N65" s="189" t="e">
        <f>F65*#REF!*#REF!/100</f>
        <v>#REF!</v>
      </c>
      <c r="O65" s="194" t="e">
        <f t="shared" si="20"/>
        <v>#REF!</v>
      </c>
    </row>
    <row r="66" spans="2:15">
      <c r="B66" s="190"/>
      <c r="C66" s="603" t="s">
        <v>168</v>
      </c>
      <c r="D66" s="603"/>
      <c r="E66" s="603"/>
      <c r="F66" s="603"/>
      <c r="G66" s="185"/>
      <c r="I66" s="190"/>
      <c r="J66" s="191"/>
      <c r="K66" s="603" t="s">
        <v>168</v>
      </c>
      <c r="L66" s="603"/>
      <c r="M66" s="603"/>
      <c r="N66" s="603"/>
      <c r="O66" s="185"/>
    </row>
    <row r="67" spans="2:15">
      <c r="B67" s="187" t="s">
        <v>180</v>
      </c>
      <c r="C67" s="181" t="s">
        <v>170</v>
      </c>
      <c r="D67" s="181" t="s">
        <v>171</v>
      </c>
      <c r="E67" s="181" t="s">
        <v>172</v>
      </c>
      <c r="F67" s="181" t="s">
        <v>173</v>
      </c>
      <c r="G67" s="184" t="s">
        <v>98</v>
      </c>
      <c r="I67" s="187" t="s">
        <v>180</v>
      </c>
      <c r="J67" s="181"/>
      <c r="K67" s="181" t="s">
        <v>170</v>
      </c>
      <c r="L67" s="181" t="s">
        <v>171</v>
      </c>
      <c r="M67" s="181" t="s">
        <v>172</v>
      </c>
      <c r="N67" s="181" t="s">
        <v>173</v>
      </c>
      <c r="O67" s="184" t="s">
        <v>98</v>
      </c>
    </row>
    <row r="68" spans="2:15">
      <c r="B68" s="188" t="s">
        <v>174</v>
      </c>
      <c r="C68" s="189"/>
      <c r="D68" s="189"/>
      <c r="E68" s="189">
        <v>5</v>
      </c>
      <c r="F68" s="189"/>
      <c r="G68" s="194">
        <f t="shared" ref="G68:G73" si="21">SUM(C68:F68)</f>
        <v>5</v>
      </c>
      <c r="I68" s="188" t="s">
        <v>174</v>
      </c>
      <c r="J68" s="196"/>
      <c r="K68" s="189" t="e">
        <f>C68*#REF!*#REF!/100</f>
        <v>#REF!</v>
      </c>
      <c r="L68" s="189" t="e">
        <f>D68*#REF!*#REF!/100</f>
        <v>#REF!</v>
      </c>
      <c r="M68" s="189" t="e">
        <f>E68*#REF!*#REF!/100</f>
        <v>#REF!</v>
      </c>
      <c r="N68" s="189" t="e">
        <f>F68*#REF!*#REF!/100</f>
        <v>#REF!</v>
      </c>
      <c r="O68" s="194" t="e">
        <f t="shared" ref="O68:O73" si="22">SUM(K68:N68)</f>
        <v>#REF!</v>
      </c>
    </row>
    <row r="69" spans="2:15">
      <c r="B69" s="188" t="s">
        <v>175</v>
      </c>
      <c r="C69" s="189"/>
      <c r="D69" s="189"/>
      <c r="E69" s="189"/>
      <c r="F69" s="189"/>
      <c r="G69" s="194">
        <f t="shared" si="21"/>
        <v>0</v>
      </c>
      <c r="I69" s="188" t="s">
        <v>175</v>
      </c>
      <c r="J69" s="196"/>
      <c r="K69" s="189" t="e">
        <f>C69*#REF!*#REF!/100</f>
        <v>#REF!</v>
      </c>
      <c r="L69" s="189" t="e">
        <f>D69*#REF!*#REF!/100</f>
        <v>#REF!</v>
      </c>
      <c r="M69" s="189" t="e">
        <f>E69*#REF!*#REF!/100</f>
        <v>#REF!</v>
      </c>
      <c r="N69" s="189" t="e">
        <f>F69*#REF!*#REF!/100</f>
        <v>#REF!</v>
      </c>
      <c r="O69" s="194" t="e">
        <f t="shared" si="22"/>
        <v>#REF!</v>
      </c>
    </row>
    <row r="70" spans="2:15">
      <c r="B70" s="188" t="s">
        <v>176</v>
      </c>
      <c r="C70" s="189"/>
      <c r="D70" s="189"/>
      <c r="E70" s="189"/>
      <c r="F70" s="189"/>
      <c r="G70" s="194">
        <f t="shared" si="21"/>
        <v>0</v>
      </c>
      <c r="I70" s="188" t="s">
        <v>176</v>
      </c>
      <c r="J70" s="196"/>
      <c r="K70" s="189" t="e">
        <f>C70*#REF!*#REF!/100</f>
        <v>#REF!</v>
      </c>
      <c r="L70" s="189" t="e">
        <f>D70*#REF!*#REF!/100</f>
        <v>#REF!</v>
      </c>
      <c r="M70" s="189" t="e">
        <f>E70*#REF!*#REF!/100</f>
        <v>#REF!</v>
      </c>
      <c r="N70" s="189" t="e">
        <f>F70*#REF!*#REF!/100</f>
        <v>#REF!</v>
      </c>
      <c r="O70" s="194" t="e">
        <f t="shared" si="22"/>
        <v>#REF!</v>
      </c>
    </row>
    <row r="71" spans="2:15">
      <c r="B71" s="188" t="s">
        <v>177</v>
      </c>
      <c r="C71" s="189">
        <v>49</v>
      </c>
      <c r="D71" s="189">
        <v>64</v>
      </c>
      <c r="E71" s="189">
        <v>47</v>
      </c>
      <c r="F71" s="189"/>
      <c r="G71" s="194">
        <f t="shared" si="21"/>
        <v>160</v>
      </c>
      <c r="I71" s="188" t="s">
        <v>177</v>
      </c>
      <c r="J71" s="196"/>
      <c r="K71" s="189" t="e">
        <f>C71*#REF!*#REF!/100</f>
        <v>#REF!</v>
      </c>
      <c r="L71" s="189" t="e">
        <f>D71*#REF!*#REF!/100</f>
        <v>#REF!</v>
      </c>
      <c r="M71" s="189" t="e">
        <f>E71*#REF!*#REF!/100</f>
        <v>#REF!</v>
      </c>
      <c r="N71" s="189" t="e">
        <f>F71*#REF!*#REF!/100</f>
        <v>#REF!</v>
      </c>
      <c r="O71" s="194" t="e">
        <f t="shared" si="22"/>
        <v>#REF!</v>
      </c>
    </row>
    <row r="72" spans="2:15">
      <c r="B72" s="188" t="s">
        <v>178</v>
      </c>
      <c r="C72" s="189">
        <v>30</v>
      </c>
      <c r="D72" s="189">
        <v>109</v>
      </c>
      <c r="E72" s="189">
        <v>11</v>
      </c>
      <c r="F72" s="189"/>
      <c r="G72" s="194">
        <f t="shared" si="21"/>
        <v>150</v>
      </c>
      <c r="I72" s="188" t="s">
        <v>178</v>
      </c>
      <c r="J72" s="196"/>
      <c r="K72" s="189" t="e">
        <f>C72*#REF!*#REF!/100</f>
        <v>#REF!</v>
      </c>
      <c r="L72" s="189" t="e">
        <f>D72*#REF!*#REF!/100</f>
        <v>#REF!</v>
      </c>
      <c r="M72" s="189" t="e">
        <f>E72*#REF!*#REF!/100</f>
        <v>#REF!</v>
      </c>
      <c r="N72" s="189" t="e">
        <f>F72*#REF!*#REF!/100</f>
        <v>#REF!</v>
      </c>
      <c r="O72" s="194" t="e">
        <f t="shared" si="22"/>
        <v>#REF!</v>
      </c>
    </row>
    <row r="73" spans="2:15">
      <c r="B73" s="188" t="s">
        <v>179</v>
      </c>
      <c r="C73" s="189">
        <v>2</v>
      </c>
      <c r="D73" s="189"/>
      <c r="E73" s="189">
        <v>3</v>
      </c>
      <c r="F73" s="189"/>
      <c r="G73" s="194">
        <f t="shared" si="21"/>
        <v>5</v>
      </c>
      <c r="I73" s="188" t="s">
        <v>179</v>
      </c>
      <c r="J73" s="196"/>
      <c r="K73" s="189" t="e">
        <f>C73*#REF!*#REF!/100</f>
        <v>#REF!</v>
      </c>
      <c r="L73" s="189" t="e">
        <f>D73*#REF!*#REF!/100</f>
        <v>#REF!</v>
      </c>
      <c r="M73" s="189" t="e">
        <f>E73*#REF!*#REF!/100</f>
        <v>#REF!</v>
      </c>
      <c r="N73" s="189" t="e">
        <f>F73*#REF!*#REF!/100</f>
        <v>#REF!</v>
      </c>
      <c r="O73" s="194" t="e">
        <f t="shared" si="22"/>
        <v>#REF!</v>
      </c>
    </row>
    <row r="74" spans="2:15">
      <c r="B74" s="190"/>
      <c r="C74" s="603" t="s">
        <v>164</v>
      </c>
      <c r="D74" s="603"/>
      <c r="E74" s="603"/>
      <c r="F74" s="603"/>
      <c r="G74" s="185"/>
      <c r="I74" s="190"/>
      <c r="J74" s="191"/>
      <c r="K74" s="603" t="s">
        <v>164</v>
      </c>
      <c r="L74" s="603"/>
      <c r="M74" s="603"/>
      <c r="N74" s="603"/>
      <c r="O74" s="185"/>
    </row>
    <row r="75" spans="2:15">
      <c r="B75" s="187" t="s">
        <v>180</v>
      </c>
      <c r="C75" s="181" t="s">
        <v>170</v>
      </c>
      <c r="D75" s="181" t="s">
        <v>171</v>
      </c>
      <c r="E75" s="181" t="s">
        <v>172</v>
      </c>
      <c r="F75" s="181" t="s">
        <v>173</v>
      </c>
      <c r="G75" s="184" t="s">
        <v>98</v>
      </c>
      <c r="I75" s="187" t="s">
        <v>180</v>
      </c>
      <c r="J75" s="181"/>
      <c r="K75" s="181" t="s">
        <v>170</v>
      </c>
      <c r="L75" s="181" t="s">
        <v>171</v>
      </c>
      <c r="M75" s="181" t="s">
        <v>172</v>
      </c>
      <c r="N75" s="181" t="s">
        <v>173</v>
      </c>
      <c r="O75" s="184" t="s">
        <v>98</v>
      </c>
    </row>
    <row r="76" spans="2:15">
      <c r="B76" s="188" t="s">
        <v>174</v>
      </c>
      <c r="C76" s="189"/>
      <c r="D76" s="189"/>
      <c r="E76" s="189"/>
      <c r="F76" s="189"/>
      <c r="G76" s="194">
        <f t="shared" ref="G76:G81" si="23">SUM(C76:F76)</f>
        <v>0</v>
      </c>
      <c r="I76" s="188" t="s">
        <v>174</v>
      </c>
      <c r="J76" s="196"/>
      <c r="K76" s="189" t="e">
        <f>C76*#REF!*#REF!/100</f>
        <v>#REF!</v>
      </c>
      <c r="L76" s="189" t="e">
        <f>D76*#REF!*#REF!/100</f>
        <v>#REF!</v>
      </c>
      <c r="M76" s="189" t="e">
        <f>E76*#REF!*#REF!/100</f>
        <v>#REF!</v>
      </c>
      <c r="N76" s="189" t="e">
        <f>F76*#REF!*#REF!/100</f>
        <v>#REF!</v>
      </c>
      <c r="O76" s="194" t="e">
        <f t="shared" ref="O76:O81" si="24">SUM(K76:N76)</f>
        <v>#REF!</v>
      </c>
    </row>
    <row r="77" spans="2:15">
      <c r="B77" s="188" t="s">
        <v>175</v>
      </c>
      <c r="C77" s="189"/>
      <c r="D77" s="189"/>
      <c r="E77" s="189"/>
      <c r="F77" s="189"/>
      <c r="G77" s="194">
        <f t="shared" si="23"/>
        <v>0</v>
      </c>
      <c r="I77" s="188" t="s">
        <v>175</v>
      </c>
      <c r="J77" s="196"/>
      <c r="K77" s="189" t="e">
        <f>C77*#REF!*#REF!/100</f>
        <v>#REF!</v>
      </c>
      <c r="L77" s="189" t="e">
        <f>D77*#REF!*#REF!/100</f>
        <v>#REF!</v>
      </c>
      <c r="M77" s="189" t="e">
        <f>E77*#REF!*#REF!/100</f>
        <v>#REF!</v>
      </c>
      <c r="N77" s="189" t="e">
        <f>F77*#REF!*#REF!/100</f>
        <v>#REF!</v>
      </c>
      <c r="O77" s="194" t="e">
        <f t="shared" si="24"/>
        <v>#REF!</v>
      </c>
    </row>
    <row r="78" spans="2:15">
      <c r="B78" s="188" t="s">
        <v>176</v>
      </c>
      <c r="C78" s="189"/>
      <c r="D78" s="189"/>
      <c r="E78" s="189"/>
      <c r="F78" s="189"/>
      <c r="G78" s="194">
        <f t="shared" si="23"/>
        <v>0</v>
      </c>
      <c r="I78" s="188" t="s">
        <v>176</v>
      </c>
      <c r="J78" s="196"/>
      <c r="K78" s="189" t="e">
        <f>C78*#REF!*#REF!/100</f>
        <v>#REF!</v>
      </c>
      <c r="L78" s="189" t="e">
        <f>D78*#REF!*#REF!/100</f>
        <v>#REF!</v>
      </c>
      <c r="M78" s="189" t="e">
        <f>E78*#REF!*#REF!/100</f>
        <v>#REF!</v>
      </c>
      <c r="N78" s="189" t="e">
        <f>F78*#REF!*#REF!/100</f>
        <v>#REF!</v>
      </c>
      <c r="O78" s="194" t="e">
        <f t="shared" si="24"/>
        <v>#REF!</v>
      </c>
    </row>
    <row r="79" spans="2:15">
      <c r="B79" s="188" t="s">
        <v>177</v>
      </c>
      <c r="C79" s="189"/>
      <c r="D79" s="189"/>
      <c r="E79" s="189"/>
      <c r="F79" s="189"/>
      <c r="G79" s="194">
        <f t="shared" si="23"/>
        <v>0</v>
      </c>
      <c r="I79" s="188" t="s">
        <v>177</v>
      </c>
      <c r="J79" s="196"/>
      <c r="K79" s="189" t="e">
        <f>C79*#REF!*#REF!/100</f>
        <v>#REF!</v>
      </c>
      <c r="L79" s="189" t="e">
        <f>D79*#REF!*#REF!/100</f>
        <v>#REF!</v>
      </c>
      <c r="M79" s="189" t="e">
        <f>E79*#REF!*#REF!/100</f>
        <v>#REF!</v>
      </c>
      <c r="N79" s="189" t="e">
        <f>F79*#REF!*#REF!/100</f>
        <v>#REF!</v>
      </c>
      <c r="O79" s="194" t="e">
        <f t="shared" si="24"/>
        <v>#REF!</v>
      </c>
    </row>
    <row r="80" spans="2:15">
      <c r="B80" s="188" t="s">
        <v>178</v>
      </c>
      <c r="C80" s="189"/>
      <c r="D80" s="189">
        <v>1</v>
      </c>
      <c r="E80" s="189"/>
      <c r="F80" s="189"/>
      <c r="G80" s="194">
        <f t="shared" si="23"/>
        <v>1</v>
      </c>
      <c r="I80" s="188" t="s">
        <v>178</v>
      </c>
      <c r="J80" s="196"/>
      <c r="K80" s="189" t="e">
        <f>C80*#REF!*#REF!/100</f>
        <v>#REF!</v>
      </c>
      <c r="L80" s="189" t="e">
        <f>D80*#REF!*#REF!/100</f>
        <v>#REF!</v>
      </c>
      <c r="M80" s="189" t="e">
        <f>E80*#REF!*#REF!/100</f>
        <v>#REF!</v>
      </c>
      <c r="N80" s="189" t="e">
        <f>F80*#REF!*#REF!/100</f>
        <v>#REF!</v>
      </c>
      <c r="O80" s="194" t="e">
        <f t="shared" si="24"/>
        <v>#REF!</v>
      </c>
    </row>
    <row r="81" spans="2:15">
      <c r="B81" s="188" t="s">
        <v>179</v>
      </c>
      <c r="C81" s="189"/>
      <c r="D81" s="189"/>
      <c r="E81" s="189"/>
      <c r="F81" s="189"/>
      <c r="G81" s="194">
        <f t="shared" si="23"/>
        <v>0</v>
      </c>
      <c r="I81" s="188" t="s">
        <v>179</v>
      </c>
      <c r="J81" s="196"/>
      <c r="K81" s="189" t="e">
        <f>C81*#REF!*#REF!/100</f>
        <v>#REF!</v>
      </c>
      <c r="L81" s="189" t="e">
        <f>D81*#REF!*#REF!/100</f>
        <v>#REF!</v>
      </c>
      <c r="M81" s="189" t="e">
        <f>E81*#REF!*#REF!/100</f>
        <v>#REF!</v>
      </c>
      <c r="N81" s="189" t="e">
        <f>F81*#REF!*#REF!/100</f>
        <v>#REF!</v>
      </c>
      <c r="O81" s="194" t="e">
        <f t="shared" si="24"/>
        <v>#REF!</v>
      </c>
    </row>
    <row r="82" spans="2:15">
      <c r="B82" s="190"/>
      <c r="C82" s="603" t="s">
        <v>166</v>
      </c>
      <c r="D82" s="603"/>
      <c r="E82" s="603"/>
      <c r="F82" s="603"/>
      <c r="G82" s="185"/>
      <c r="I82" s="190"/>
      <c r="J82" s="191"/>
      <c r="K82" s="603" t="s">
        <v>166</v>
      </c>
      <c r="L82" s="603"/>
      <c r="M82" s="603"/>
      <c r="N82" s="603"/>
      <c r="O82" s="185"/>
    </row>
    <row r="83" spans="2:15">
      <c r="B83" s="187" t="s">
        <v>180</v>
      </c>
      <c r="C83" s="181" t="s">
        <v>170</v>
      </c>
      <c r="D83" s="181" t="s">
        <v>171</v>
      </c>
      <c r="E83" s="181" t="s">
        <v>172</v>
      </c>
      <c r="F83" s="181" t="s">
        <v>173</v>
      </c>
      <c r="G83" s="184" t="s">
        <v>98</v>
      </c>
      <c r="I83" s="187" t="s">
        <v>180</v>
      </c>
      <c r="J83" s="181"/>
      <c r="K83" s="181" t="s">
        <v>170</v>
      </c>
      <c r="L83" s="181" t="s">
        <v>171</v>
      </c>
      <c r="M83" s="181" t="s">
        <v>172</v>
      </c>
      <c r="N83" s="181" t="s">
        <v>173</v>
      </c>
      <c r="O83" s="184" t="s">
        <v>98</v>
      </c>
    </row>
    <row r="84" spans="2:15">
      <c r="B84" s="188" t="s">
        <v>174</v>
      </c>
      <c r="C84" s="189"/>
      <c r="D84" s="189"/>
      <c r="E84" s="189"/>
      <c r="F84" s="189"/>
      <c r="G84" s="194">
        <f t="shared" ref="G84:G89" si="25">SUM(C84:F84)</f>
        <v>0</v>
      </c>
      <c r="I84" s="188" t="s">
        <v>174</v>
      </c>
      <c r="J84" s="196"/>
      <c r="K84" s="189" t="e">
        <f>C84*#REF!*#REF!/100</f>
        <v>#REF!</v>
      </c>
      <c r="L84" s="189" t="e">
        <f>D84*#REF!*#REF!/100</f>
        <v>#REF!</v>
      </c>
      <c r="M84" s="189" t="e">
        <f>E84*#REF!*#REF!/100</f>
        <v>#REF!</v>
      </c>
      <c r="N84" s="189" t="e">
        <f>F84*#REF!*#REF!/100</f>
        <v>#REF!</v>
      </c>
      <c r="O84" s="194" t="e">
        <f t="shared" ref="O84:O89" si="26">SUM(K84:N84)</f>
        <v>#REF!</v>
      </c>
    </row>
    <row r="85" spans="2:15">
      <c r="B85" s="188" t="s">
        <v>175</v>
      </c>
      <c r="C85" s="189"/>
      <c r="D85" s="189"/>
      <c r="E85" s="189"/>
      <c r="F85" s="189"/>
      <c r="G85" s="194">
        <f t="shared" si="25"/>
        <v>0</v>
      </c>
      <c r="I85" s="188" t="s">
        <v>175</v>
      </c>
      <c r="J85" s="196"/>
      <c r="K85" s="189" t="e">
        <f>C85*#REF!*#REF!/100</f>
        <v>#REF!</v>
      </c>
      <c r="L85" s="189" t="e">
        <f>D85*#REF!*#REF!/100</f>
        <v>#REF!</v>
      </c>
      <c r="M85" s="189" t="e">
        <f>E85*#REF!*#REF!/100</f>
        <v>#REF!</v>
      </c>
      <c r="N85" s="189" t="e">
        <f>F85*#REF!*#REF!/100</f>
        <v>#REF!</v>
      </c>
      <c r="O85" s="194" t="e">
        <f t="shared" si="26"/>
        <v>#REF!</v>
      </c>
    </row>
    <row r="86" spans="2:15">
      <c r="B86" s="188" t="s">
        <v>176</v>
      </c>
      <c r="C86" s="189"/>
      <c r="D86" s="189"/>
      <c r="E86" s="189"/>
      <c r="F86" s="189"/>
      <c r="G86" s="194">
        <f t="shared" si="25"/>
        <v>0</v>
      </c>
      <c r="I86" s="188" t="s">
        <v>176</v>
      </c>
      <c r="J86" s="196"/>
      <c r="K86" s="189" t="e">
        <f>C86*#REF!*#REF!/100</f>
        <v>#REF!</v>
      </c>
      <c r="L86" s="189" t="e">
        <f>D86*#REF!*#REF!/100</f>
        <v>#REF!</v>
      </c>
      <c r="M86" s="189" t="e">
        <f>E86*#REF!*#REF!/100</f>
        <v>#REF!</v>
      </c>
      <c r="N86" s="189" t="e">
        <f>F86*#REF!*#REF!/100</f>
        <v>#REF!</v>
      </c>
      <c r="O86" s="194" t="e">
        <f t="shared" si="26"/>
        <v>#REF!</v>
      </c>
    </row>
    <row r="87" spans="2:15">
      <c r="B87" s="188" t="s">
        <v>177</v>
      </c>
      <c r="C87" s="189"/>
      <c r="D87" s="189"/>
      <c r="E87" s="189"/>
      <c r="F87" s="189"/>
      <c r="G87" s="194">
        <f t="shared" si="25"/>
        <v>0</v>
      </c>
      <c r="I87" s="188" t="s">
        <v>177</v>
      </c>
      <c r="J87" s="196"/>
      <c r="K87" s="189" t="e">
        <f>C87*#REF!*#REF!/100</f>
        <v>#REF!</v>
      </c>
      <c r="L87" s="189" t="e">
        <f>D87*#REF!*#REF!/100</f>
        <v>#REF!</v>
      </c>
      <c r="M87" s="189" t="e">
        <f>E87*#REF!*#REF!/100</f>
        <v>#REF!</v>
      </c>
      <c r="N87" s="189" t="e">
        <f>F87*#REF!*#REF!/100</f>
        <v>#REF!</v>
      </c>
      <c r="O87" s="194" t="e">
        <f t="shared" si="26"/>
        <v>#REF!</v>
      </c>
    </row>
    <row r="88" spans="2:15">
      <c r="B88" s="188" t="s">
        <v>178</v>
      </c>
      <c r="C88" s="189"/>
      <c r="D88" s="189">
        <v>3</v>
      </c>
      <c r="E88" s="189"/>
      <c r="F88" s="189"/>
      <c r="G88" s="194">
        <f t="shared" si="25"/>
        <v>3</v>
      </c>
      <c r="I88" s="188" t="s">
        <v>178</v>
      </c>
      <c r="J88" s="196"/>
      <c r="K88" s="189" t="e">
        <f>C88*#REF!*#REF!/100</f>
        <v>#REF!</v>
      </c>
      <c r="L88" s="189" t="e">
        <f>D88*#REF!*#REF!/100</f>
        <v>#REF!</v>
      </c>
      <c r="M88" s="189" t="e">
        <f>E88*#REF!*#REF!/100</f>
        <v>#REF!</v>
      </c>
      <c r="N88" s="189" t="e">
        <f>F88*#REF!*#REF!/100</f>
        <v>#REF!</v>
      </c>
      <c r="O88" s="194" t="e">
        <f t="shared" si="26"/>
        <v>#REF!</v>
      </c>
    </row>
    <row r="89" spans="2:15">
      <c r="B89" s="188" t="s">
        <v>179</v>
      </c>
      <c r="C89" s="189"/>
      <c r="D89" s="189"/>
      <c r="E89" s="189"/>
      <c r="F89" s="189"/>
      <c r="G89" s="194">
        <f t="shared" si="25"/>
        <v>0</v>
      </c>
      <c r="I89" s="188" t="s">
        <v>179</v>
      </c>
      <c r="J89" s="196"/>
      <c r="K89" s="189" t="e">
        <f>C89*#REF!*#REF!/100</f>
        <v>#REF!</v>
      </c>
      <c r="L89" s="189" t="e">
        <f>D89*#REF!*#REF!/100</f>
        <v>#REF!</v>
      </c>
      <c r="M89" s="189" t="e">
        <f>E89*#REF!*#REF!/100</f>
        <v>#REF!</v>
      </c>
      <c r="N89" s="189" t="e">
        <f>F89*#REF!*#REF!/100</f>
        <v>#REF!</v>
      </c>
      <c r="O89" s="194" t="e">
        <f t="shared" si="26"/>
        <v>#REF!</v>
      </c>
    </row>
    <row r="90" spans="2:15">
      <c r="B90" s="190"/>
      <c r="C90" s="603" t="s">
        <v>165</v>
      </c>
      <c r="D90" s="603"/>
      <c r="E90" s="603"/>
      <c r="F90" s="603"/>
      <c r="G90" s="185"/>
      <c r="I90" s="190"/>
      <c r="J90" s="191"/>
      <c r="K90" s="603" t="s">
        <v>165</v>
      </c>
      <c r="L90" s="603"/>
      <c r="M90" s="603"/>
      <c r="N90" s="603"/>
      <c r="O90" s="185"/>
    </row>
    <row r="91" spans="2:15">
      <c r="B91" s="187" t="s">
        <v>180</v>
      </c>
      <c r="C91" s="181" t="s">
        <v>170</v>
      </c>
      <c r="D91" s="181" t="s">
        <v>171</v>
      </c>
      <c r="E91" s="181" t="s">
        <v>172</v>
      </c>
      <c r="F91" s="181" t="s">
        <v>173</v>
      </c>
      <c r="G91" s="184" t="s">
        <v>98</v>
      </c>
      <c r="I91" s="187" t="s">
        <v>180</v>
      </c>
      <c r="J91" s="181"/>
      <c r="K91" s="181" t="s">
        <v>170</v>
      </c>
      <c r="L91" s="181" t="s">
        <v>171</v>
      </c>
      <c r="M91" s="181" t="s">
        <v>172</v>
      </c>
      <c r="N91" s="181" t="s">
        <v>173</v>
      </c>
      <c r="O91" s="184" t="s">
        <v>98</v>
      </c>
    </row>
    <row r="92" spans="2:15">
      <c r="B92" s="188" t="s">
        <v>174</v>
      </c>
      <c r="C92" s="189"/>
      <c r="D92" s="189"/>
      <c r="E92" s="189"/>
      <c r="F92" s="189"/>
      <c r="G92" s="194">
        <f t="shared" ref="G92:G97" si="27">SUM(C92:F92)</f>
        <v>0</v>
      </c>
      <c r="I92" s="188" t="s">
        <v>174</v>
      </c>
      <c r="J92" s="196"/>
      <c r="K92" s="189" t="e">
        <f>C92*#REF!*#REF!/100</f>
        <v>#REF!</v>
      </c>
      <c r="L92" s="189" t="e">
        <f>D92*#REF!*#REF!/100</f>
        <v>#REF!</v>
      </c>
      <c r="M92" s="189" t="e">
        <f>E92*#REF!*#REF!/100</f>
        <v>#REF!</v>
      </c>
      <c r="N92" s="189" t="e">
        <f>F92*#REF!*#REF!/100</f>
        <v>#REF!</v>
      </c>
      <c r="O92" s="194" t="e">
        <f t="shared" ref="O92:O97" si="28">SUM(K92:N92)</f>
        <v>#REF!</v>
      </c>
    </row>
    <row r="93" spans="2:15">
      <c r="B93" s="188" t="s">
        <v>175</v>
      </c>
      <c r="C93" s="189"/>
      <c r="D93" s="189"/>
      <c r="E93" s="189"/>
      <c r="F93" s="189"/>
      <c r="G93" s="194">
        <f t="shared" si="27"/>
        <v>0</v>
      </c>
      <c r="I93" s="188" t="s">
        <v>175</v>
      </c>
      <c r="J93" s="196"/>
      <c r="K93" s="189" t="e">
        <f>C93*#REF!*#REF!/100</f>
        <v>#REF!</v>
      </c>
      <c r="L93" s="189" t="e">
        <f>D93*#REF!*#REF!/100</f>
        <v>#REF!</v>
      </c>
      <c r="M93" s="189" t="e">
        <f>E93*#REF!*#REF!/100</f>
        <v>#REF!</v>
      </c>
      <c r="N93" s="189" t="e">
        <f>F93*#REF!*#REF!/100</f>
        <v>#REF!</v>
      </c>
      <c r="O93" s="194" t="e">
        <f t="shared" si="28"/>
        <v>#REF!</v>
      </c>
    </row>
    <row r="94" spans="2:15">
      <c r="B94" s="188" t="s">
        <v>176</v>
      </c>
      <c r="C94" s="189">
        <v>1</v>
      </c>
      <c r="D94" s="189"/>
      <c r="E94" s="189"/>
      <c r="F94" s="189"/>
      <c r="G94" s="194">
        <f t="shared" si="27"/>
        <v>1</v>
      </c>
      <c r="I94" s="188" t="s">
        <v>176</v>
      </c>
      <c r="J94" s="196"/>
      <c r="K94" s="189" t="e">
        <f>C94*#REF!*#REF!/100</f>
        <v>#REF!</v>
      </c>
      <c r="L94" s="189" t="e">
        <f>D94*#REF!*#REF!/100</f>
        <v>#REF!</v>
      </c>
      <c r="M94" s="189" t="e">
        <f>E94*#REF!*#REF!/100</f>
        <v>#REF!</v>
      </c>
      <c r="N94" s="189" t="e">
        <f>F94*#REF!*#REF!/100</f>
        <v>#REF!</v>
      </c>
      <c r="O94" s="194" t="e">
        <f t="shared" si="28"/>
        <v>#REF!</v>
      </c>
    </row>
    <row r="95" spans="2:15">
      <c r="B95" s="188" t="s">
        <v>177</v>
      </c>
      <c r="C95" s="189">
        <v>1</v>
      </c>
      <c r="D95" s="189"/>
      <c r="E95" s="189"/>
      <c r="F95" s="189"/>
      <c r="G95" s="194">
        <f t="shared" si="27"/>
        <v>1</v>
      </c>
      <c r="I95" s="188" t="s">
        <v>177</v>
      </c>
      <c r="J95" s="196"/>
      <c r="K95" s="189" t="e">
        <f>C95*#REF!*#REF!/100</f>
        <v>#REF!</v>
      </c>
      <c r="L95" s="189" t="e">
        <f>D95*#REF!*#REF!/100</f>
        <v>#REF!</v>
      </c>
      <c r="M95" s="189" t="e">
        <f>E95*#REF!*#REF!/100</f>
        <v>#REF!</v>
      </c>
      <c r="N95" s="189" t="e">
        <f>F95*#REF!*#REF!/100</f>
        <v>#REF!</v>
      </c>
      <c r="O95" s="194" t="e">
        <f t="shared" si="28"/>
        <v>#REF!</v>
      </c>
    </row>
    <row r="96" spans="2:15">
      <c r="B96" s="188" t="s">
        <v>178</v>
      </c>
      <c r="C96" s="189"/>
      <c r="D96" s="189"/>
      <c r="E96" s="189"/>
      <c r="F96" s="189"/>
      <c r="G96" s="194">
        <f t="shared" si="27"/>
        <v>0</v>
      </c>
      <c r="I96" s="188" t="s">
        <v>178</v>
      </c>
      <c r="J96" s="196"/>
      <c r="K96" s="189" t="e">
        <f>C96*#REF!*#REF!/100</f>
        <v>#REF!</v>
      </c>
      <c r="L96" s="189" t="e">
        <f>D96*#REF!*#REF!/100</f>
        <v>#REF!</v>
      </c>
      <c r="M96" s="189" t="e">
        <f>E96*#REF!*#REF!/100</f>
        <v>#REF!</v>
      </c>
      <c r="N96" s="189" t="e">
        <f>F96*#REF!*#REF!/100</f>
        <v>#REF!</v>
      </c>
      <c r="O96" s="194" t="e">
        <f t="shared" si="28"/>
        <v>#REF!</v>
      </c>
    </row>
    <row r="97" spans="2:18" ht="15.75" thickBot="1">
      <c r="B97" s="192" t="s">
        <v>179</v>
      </c>
      <c r="C97" s="193"/>
      <c r="D97" s="193"/>
      <c r="E97" s="193"/>
      <c r="F97" s="193"/>
      <c r="G97" s="195">
        <f t="shared" si="27"/>
        <v>0</v>
      </c>
      <c r="I97" s="192" t="s">
        <v>179</v>
      </c>
      <c r="J97" s="198"/>
      <c r="K97" s="193" t="e">
        <f>C97*#REF!*#REF!/100</f>
        <v>#REF!</v>
      </c>
      <c r="L97" s="193" t="e">
        <f>D97*#REF!*#REF!/100</f>
        <v>#REF!</v>
      </c>
      <c r="M97" s="193" t="e">
        <f>E97*#REF!*#REF!/100</f>
        <v>#REF!</v>
      </c>
      <c r="N97" s="193" t="e">
        <f>F97*#REF!*#REF!/100</f>
        <v>#REF!</v>
      </c>
      <c r="O97" s="195" t="e">
        <f t="shared" si="28"/>
        <v>#REF!</v>
      </c>
    </row>
    <row r="99" spans="2:18" ht="60">
      <c r="B99" s="3" t="s">
        <v>187</v>
      </c>
      <c r="E99" s="207" t="s">
        <v>197</v>
      </c>
      <c r="F99" s="3" t="s">
        <v>206</v>
      </c>
      <c r="G99" s="62" t="s">
        <v>198</v>
      </c>
      <c r="H99" s="207" t="s">
        <v>199</v>
      </c>
      <c r="I99" s="207" t="s">
        <v>204</v>
      </c>
      <c r="J99" s="62" t="s">
        <v>200</v>
      </c>
      <c r="K99" s="62"/>
      <c r="L99" s="62" t="s">
        <v>201</v>
      </c>
      <c r="M99" s="62" t="s">
        <v>202</v>
      </c>
      <c r="N99" s="62" t="s">
        <v>203</v>
      </c>
    </row>
    <row r="100" spans="2:18">
      <c r="B100" s="3">
        <v>2287</v>
      </c>
      <c r="C100" s="3" t="s">
        <v>188</v>
      </c>
      <c r="E100" s="62">
        <v>6824</v>
      </c>
      <c r="F100" s="210">
        <v>0.28000000000000003</v>
      </c>
      <c r="G100" s="62">
        <v>61</v>
      </c>
      <c r="H100" s="62">
        <v>5527</v>
      </c>
      <c r="I100" s="62">
        <v>676</v>
      </c>
      <c r="J100" s="62">
        <v>314</v>
      </c>
      <c r="K100" s="62">
        <v>164</v>
      </c>
      <c r="L100" s="62">
        <v>75</v>
      </c>
      <c r="M100" s="62">
        <v>7</v>
      </c>
      <c r="N100" s="62"/>
    </row>
    <row r="101" spans="2:18">
      <c r="B101" s="3">
        <v>2257</v>
      </c>
      <c r="C101" s="3" t="s">
        <v>189</v>
      </c>
      <c r="E101" s="62">
        <v>8465</v>
      </c>
      <c r="F101" s="210">
        <v>0.28000000000000003</v>
      </c>
      <c r="G101" s="62">
        <v>51</v>
      </c>
      <c r="H101" s="62">
        <v>7018</v>
      </c>
      <c r="I101" s="62">
        <v>779</v>
      </c>
      <c r="J101" s="62">
        <v>271</v>
      </c>
      <c r="K101" s="62">
        <v>245</v>
      </c>
      <c r="L101" s="62">
        <v>93</v>
      </c>
      <c r="M101" s="62">
        <v>8</v>
      </c>
      <c r="N101" s="62"/>
    </row>
    <row r="102" spans="2:18">
      <c r="B102" s="3">
        <v>2146</v>
      </c>
      <c r="C102" s="3" t="s">
        <v>190</v>
      </c>
      <c r="E102" s="62">
        <v>1556</v>
      </c>
      <c r="F102" s="210">
        <v>0.28000000000000003</v>
      </c>
      <c r="G102" s="62">
        <v>37</v>
      </c>
      <c r="H102" s="62">
        <v>1340</v>
      </c>
      <c r="I102" s="62">
        <v>120</v>
      </c>
      <c r="J102" s="62">
        <v>34</v>
      </c>
      <c r="K102" s="62">
        <v>17</v>
      </c>
      <c r="L102" s="62">
        <v>5</v>
      </c>
      <c r="M102" s="62">
        <v>3</v>
      </c>
      <c r="N102" s="62"/>
    </row>
    <row r="103" spans="2:18">
      <c r="B103" s="3">
        <v>2110</v>
      </c>
      <c r="C103" s="3" t="s">
        <v>191</v>
      </c>
      <c r="E103" s="62">
        <v>9568</v>
      </c>
      <c r="F103" s="210">
        <v>0.28000000000000003</v>
      </c>
      <c r="G103" s="62">
        <v>96</v>
      </c>
      <c r="H103" s="62">
        <v>7520</v>
      </c>
      <c r="I103" s="62">
        <v>823</v>
      </c>
      <c r="J103" s="62">
        <v>411</v>
      </c>
      <c r="K103" s="62">
        <v>641</v>
      </c>
      <c r="L103" s="62">
        <v>67</v>
      </c>
      <c r="M103" s="62">
        <v>10</v>
      </c>
      <c r="N103" s="62"/>
    </row>
    <row r="104" spans="2:18">
      <c r="B104" s="3">
        <v>2093</v>
      </c>
      <c r="C104" s="3" t="s">
        <v>192</v>
      </c>
      <c r="E104" s="62">
        <v>12307</v>
      </c>
      <c r="F104" s="210">
        <v>0.28000000000000003</v>
      </c>
      <c r="G104" s="62">
        <v>86</v>
      </c>
      <c r="H104" s="62">
        <v>10794</v>
      </c>
      <c r="I104" s="62">
        <v>886</v>
      </c>
      <c r="J104" s="62">
        <v>283</v>
      </c>
      <c r="K104" s="62">
        <v>197</v>
      </c>
      <c r="L104" s="62">
        <v>49</v>
      </c>
      <c r="M104" s="62">
        <v>12</v>
      </c>
      <c r="N104" s="62"/>
    </row>
    <row r="105" spans="2:18">
      <c r="B105" s="3">
        <v>2072</v>
      </c>
      <c r="C105" s="3" t="s">
        <v>193</v>
      </c>
      <c r="E105" s="62">
        <v>2262</v>
      </c>
      <c r="F105" s="210">
        <v>0.28000000000000003</v>
      </c>
      <c r="G105" s="62">
        <v>50</v>
      </c>
      <c r="H105" s="62">
        <v>1942</v>
      </c>
      <c r="I105" s="62">
        <v>111</v>
      </c>
      <c r="J105" s="62">
        <v>29</v>
      </c>
      <c r="K105" s="62">
        <v>81</v>
      </c>
      <c r="L105" s="62">
        <v>38</v>
      </c>
      <c r="M105" s="62">
        <v>11</v>
      </c>
      <c r="N105" s="62"/>
      <c r="O105" s="44"/>
      <c r="P105" s="44"/>
      <c r="Q105" s="44"/>
      <c r="R105" s="44"/>
    </row>
    <row r="106" spans="2:18">
      <c r="B106" s="3">
        <v>30904</v>
      </c>
      <c r="C106" s="3" t="s">
        <v>194</v>
      </c>
      <c r="E106" s="62">
        <v>14901</v>
      </c>
      <c r="F106" s="210">
        <v>0.28000000000000003</v>
      </c>
      <c r="G106" s="62">
        <v>36</v>
      </c>
      <c r="H106" s="62">
        <v>10271</v>
      </c>
      <c r="I106" s="62">
        <v>1726</v>
      </c>
      <c r="J106" s="62">
        <v>711</v>
      </c>
      <c r="K106" s="62">
        <v>1951</v>
      </c>
      <c r="L106" s="62">
        <v>183</v>
      </c>
      <c r="M106" s="62">
        <v>23</v>
      </c>
      <c r="N106" s="62">
        <v>17</v>
      </c>
      <c r="O106" s="44"/>
      <c r="P106" s="200"/>
      <c r="Q106" s="44"/>
      <c r="R106" s="44"/>
    </row>
    <row r="107" spans="2:18">
      <c r="B107" s="3">
        <v>30208</v>
      </c>
      <c r="C107" s="3" t="s">
        <v>195</v>
      </c>
      <c r="E107" s="62">
        <v>62187</v>
      </c>
      <c r="F107" s="210">
        <v>0.28000000000000003</v>
      </c>
      <c r="G107" s="62">
        <v>199</v>
      </c>
      <c r="H107" s="62">
        <v>49826</v>
      </c>
      <c r="I107" s="62">
        <v>5098</v>
      </c>
      <c r="J107" s="62">
        <v>1385</v>
      </c>
      <c r="K107" s="62">
        <v>4759</v>
      </c>
      <c r="L107" s="62">
        <v>916</v>
      </c>
      <c r="M107" s="62">
        <v>4</v>
      </c>
      <c r="N107" s="62">
        <v>18</v>
      </c>
      <c r="O107" s="44"/>
      <c r="P107" s="201"/>
      <c r="Q107" s="44"/>
      <c r="R107" s="44"/>
    </row>
    <row r="108" spans="2:18">
      <c r="B108" s="3">
        <v>30716</v>
      </c>
      <c r="C108" s="3" t="s">
        <v>196</v>
      </c>
      <c r="E108" s="62">
        <v>32034</v>
      </c>
      <c r="F108" s="210">
        <v>0.28000000000000003</v>
      </c>
      <c r="G108" s="62">
        <v>99</v>
      </c>
      <c r="H108" s="62">
        <v>23621</v>
      </c>
      <c r="I108" s="62">
        <v>3733</v>
      </c>
      <c r="J108" s="62">
        <v>1543</v>
      </c>
      <c r="K108" s="62">
        <v>2665</v>
      </c>
      <c r="L108" s="62">
        <v>367</v>
      </c>
      <c r="M108" s="62">
        <v>6</v>
      </c>
      <c r="N108" s="62">
        <v>63</v>
      </c>
      <c r="O108" s="44"/>
      <c r="P108" s="44"/>
      <c r="Q108" s="44"/>
      <c r="R108" s="44"/>
    </row>
    <row r="109" spans="2:18">
      <c r="C109" s="3" t="s">
        <v>205</v>
      </c>
      <c r="E109" s="3">
        <f>AVERAGE(E100:E108)</f>
        <v>16678.222222222223</v>
      </c>
      <c r="F109" s="209">
        <f>AVERAGE(F100:F108)</f>
        <v>0.28000000000000003</v>
      </c>
      <c r="O109" s="44"/>
      <c r="P109" s="44"/>
      <c r="Q109" s="44"/>
      <c r="R109" s="44"/>
    </row>
    <row r="111" spans="2:18">
      <c r="E111" s="62">
        <v>6824</v>
      </c>
      <c r="G111" s="208">
        <f t="shared" ref="G111:N119" si="29">G100/$E100</f>
        <v>8.9390386869871042E-3</v>
      </c>
      <c r="H111" s="208">
        <f t="shared" si="29"/>
        <v>0.80993552168815941</v>
      </c>
      <c r="I111" s="208">
        <f t="shared" si="29"/>
        <v>9.9062133645955452E-2</v>
      </c>
      <c r="J111" s="208">
        <f t="shared" si="29"/>
        <v>4.6014067995310666E-2</v>
      </c>
      <c r="K111" s="208">
        <f t="shared" si="29"/>
        <v>2.4032825322391559E-2</v>
      </c>
      <c r="L111" s="208">
        <f t="shared" si="29"/>
        <v>1.0990621336459554E-2</v>
      </c>
      <c r="M111" s="208">
        <f t="shared" si="29"/>
        <v>1.0257913247362252E-3</v>
      </c>
      <c r="N111" s="208">
        <f t="shared" si="29"/>
        <v>0</v>
      </c>
    </row>
    <row r="112" spans="2:18">
      <c r="E112" s="62">
        <v>8465</v>
      </c>
      <c r="G112" s="208">
        <f t="shared" si="29"/>
        <v>6.0248080330773772E-3</v>
      </c>
      <c r="H112" s="208">
        <f t="shared" si="29"/>
        <v>0.82906083874778502</v>
      </c>
      <c r="I112" s="208">
        <f t="shared" si="29"/>
        <v>9.2025989367985825E-2</v>
      </c>
      <c r="J112" s="208">
        <f t="shared" si="29"/>
        <v>3.2014176018901358E-2</v>
      </c>
      <c r="K112" s="208">
        <f t="shared" si="29"/>
        <v>2.8942705256940343E-2</v>
      </c>
      <c r="L112" s="208">
        <f t="shared" si="29"/>
        <v>1.0986414648552864E-2</v>
      </c>
      <c r="M112" s="208">
        <f t="shared" si="29"/>
        <v>9.4506792675723569E-4</v>
      </c>
      <c r="N112" s="208">
        <f t="shared" si="29"/>
        <v>0</v>
      </c>
    </row>
    <row r="113" spans="2:14">
      <c r="E113" s="62">
        <v>1556</v>
      </c>
      <c r="G113" s="208">
        <f t="shared" si="29"/>
        <v>2.377892030848329E-2</v>
      </c>
      <c r="H113" s="208">
        <f t="shared" si="29"/>
        <v>0.86118251928020562</v>
      </c>
      <c r="I113" s="208">
        <f t="shared" si="29"/>
        <v>7.7120822622107968E-2</v>
      </c>
      <c r="J113" s="208">
        <f t="shared" si="29"/>
        <v>2.1850899742930592E-2</v>
      </c>
      <c r="K113" s="208">
        <f t="shared" si="29"/>
        <v>1.0925449871465296E-2</v>
      </c>
      <c r="L113" s="208">
        <f t="shared" si="29"/>
        <v>3.2133676092544988E-3</v>
      </c>
      <c r="M113" s="208">
        <f t="shared" si="29"/>
        <v>1.9280205655526992E-3</v>
      </c>
      <c r="N113" s="208">
        <f t="shared" si="29"/>
        <v>0</v>
      </c>
    </row>
    <row r="114" spans="2:14">
      <c r="E114" s="62">
        <v>9568</v>
      </c>
      <c r="G114" s="208">
        <f t="shared" si="29"/>
        <v>1.0033444816053512E-2</v>
      </c>
      <c r="H114" s="208">
        <f t="shared" si="29"/>
        <v>0.78595317725752512</v>
      </c>
      <c r="I114" s="208">
        <f t="shared" si="29"/>
        <v>8.6015886287625423E-2</v>
      </c>
      <c r="J114" s="208">
        <f t="shared" si="29"/>
        <v>4.2955685618729096E-2</v>
      </c>
      <c r="K114" s="208">
        <f t="shared" si="29"/>
        <v>6.6994147157190639E-2</v>
      </c>
      <c r="L114" s="208">
        <f t="shared" si="29"/>
        <v>7.0025083612040131E-3</v>
      </c>
      <c r="M114" s="208">
        <f t="shared" si="29"/>
        <v>1.0451505016722408E-3</v>
      </c>
      <c r="N114" s="208">
        <f t="shared" si="29"/>
        <v>0</v>
      </c>
    </row>
    <row r="115" spans="2:14">
      <c r="E115" s="62">
        <v>12307</v>
      </c>
      <c r="G115" s="208">
        <f t="shared" si="29"/>
        <v>6.9878930689851303E-3</v>
      </c>
      <c r="H115" s="208">
        <f t="shared" si="29"/>
        <v>0.87706183472820343</v>
      </c>
      <c r="I115" s="208">
        <f t="shared" si="29"/>
        <v>7.1991549524660761E-2</v>
      </c>
      <c r="J115" s="208">
        <f t="shared" si="29"/>
        <v>2.2995043471195256E-2</v>
      </c>
      <c r="K115" s="208">
        <f t="shared" si="29"/>
        <v>1.6007150402210124E-2</v>
      </c>
      <c r="L115" s="208">
        <f t="shared" si="29"/>
        <v>3.9814739579101324E-3</v>
      </c>
      <c r="M115" s="208">
        <f t="shared" si="29"/>
        <v>9.7505484683513451E-4</v>
      </c>
      <c r="N115" s="208">
        <f t="shared" si="29"/>
        <v>0</v>
      </c>
    </row>
    <row r="116" spans="2:14">
      <c r="E116" s="62">
        <v>2262</v>
      </c>
      <c r="G116" s="208">
        <f t="shared" si="29"/>
        <v>2.2104332449160036E-2</v>
      </c>
      <c r="H116" s="208">
        <f t="shared" si="29"/>
        <v>0.85853227232537577</v>
      </c>
      <c r="I116" s="208">
        <f t="shared" si="29"/>
        <v>4.9071618037135278E-2</v>
      </c>
      <c r="J116" s="208">
        <f t="shared" si="29"/>
        <v>1.282051282051282E-2</v>
      </c>
      <c r="K116" s="208">
        <f t="shared" si="29"/>
        <v>3.580901856763926E-2</v>
      </c>
      <c r="L116" s="208">
        <f t="shared" si="29"/>
        <v>1.6799292661361626E-2</v>
      </c>
      <c r="M116" s="208">
        <f t="shared" si="29"/>
        <v>4.8629531388152082E-3</v>
      </c>
      <c r="N116" s="208">
        <f t="shared" si="29"/>
        <v>0</v>
      </c>
    </row>
    <row r="117" spans="2:14">
      <c r="E117" s="62">
        <v>14901</v>
      </c>
      <c r="G117" s="208">
        <f t="shared" si="29"/>
        <v>2.4159452385745924E-3</v>
      </c>
      <c r="H117" s="208">
        <f t="shared" si="29"/>
        <v>0.68928259848332329</v>
      </c>
      <c r="I117" s="208">
        <f t="shared" si="29"/>
        <v>0.11583115227165962</v>
      </c>
      <c r="J117" s="208">
        <f t="shared" si="29"/>
        <v>4.7714918461848201E-2</v>
      </c>
      <c r="K117" s="208">
        <f t="shared" si="29"/>
        <v>0.13093081001275081</v>
      </c>
      <c r="L117" s="208">
        <f t="shared" si="29"/>
        <v>1.2281054962754178E-2</v>
      </c>
      <c r="M117" s="208">
        <f t="shared" si="29"/>
        <v>1.5435205690893228E-3</v>
      </c>
      <c r="N117" s="208">
        <f t="shared" si="29"/>
        <v>1.1408630293268907E-3</v>
      </c>
    </row>
    <row r="118" spans="2:14">
      <c r="E118" s="62">
        <v>62187</v>
      </c>
      <c r="G118" s="208">
        <f t="shared" si="29"/>
        <v>3.2000257288500814E-3</v>
      </c>
      <c r="H118" s="208">
        <f t="shared" si="29"/>
        <v>0.8012285525913776</v>
      </c>
      <c r="I118" s="208">
        <f t="shared" si="29"/>
        <v>8.19785485712448E-2</v>
      </c>
      <c r="J118" s="208">
        <f t="shared" si="29"/>
        <v>2.2271535851544535E-2</v>
      </c>
      <c r="K118" s="208">
        <f t="shared" si="29"/>
        <v>7.6527248460289132E-2</v>
      </c>
      <c r="L118" s="208">
        <f t="shared" si="29"/>
        <v>1.4729766671490827E-2</v>
      </c>
      <c r="M118" s="208">
        <f t="shared" si="29"/>
        <v>6.4322125203016708E-5</v>
      </c>
      <c r="N118" s="208">
        <f t="shared" si="29"/>
        <v>2.8944956341357518E-4</v>
      </c>
    </row>
    <row r="119" spans="2:14">
      <c r="E119" s="62">
        <v>32034</v>
      </c>
      <c r="G119" s="208">
        <f t="shared" si="29"/>
        <v>3.0904663794718112E-3</v>
      </c>
      <c r="H119" s="208">
        <f t="shared" si="29"/>
        <v>0.73737279140912781</v>
      </c>
      <c r="I119" s="208">
        <f t="shared" si="29"/>
        <v>0.1165324342885684</v>
      </c>
      <c r="J119" s="208">
        <f t="shared" si="29"/>
        <v>4.8167571954798025E-2</v>
      </c>
      <c r="K119" s="208">
        <f t="shared" si="29"/>
        <v>8.3192857588811883E-2</v>
      </c>
      <c r="L119" s="208">
        <f t="shared" si="29"/>
        <v>1.1456577386526815E-2</v>
      </c>
      <c r="M119" s="208">
        <f t="shared" si="29"/>
        <v>1.8730099269526128E-4</v>
      </c>
      <c r="N119" s="208">
        <f t="shared" si="29"/>
        <v>1.9666604233002437E-3</v>
      </c>
    </row>
    <row r="120" spans="2:14">
      <c r="E120" s="3">
        <f>AVERAGE(E111:E119)</f>
        <v>16678.222222222223</v>
      </c>
      <c r="G120" s="209">
        <f t="shared" ref="G120:N120" si="30">AVERAGE(G111:G119)</f>
        <v>9.6194305232936619E-3</v>
      </c>
      <c r="H120" s="209">
        <f t="shared" si="30"/>
        <v>0.80551223405678696</v>
      </c>
      <c r="I120" s="209">
        <f t="shared" si="30"/>
        <v>8.773668162410482E-2</v>
      </c>
      <c r="J120" s="209">
        <f t="shared" si="30"/>
        <v>3.2978267992863394E-2</v>
      </c>
      <c r="K120" s="209">
        <f t="shared" si="30"/>
        <v>5.2595801404409892E-2</v>
      </c>
      <c r="L120" s="209">
        <f t="shared" si="30"/>
        <v>1.0160119732834946E-2</v>
      </c>
      <c r="M120" s="209">
        <f t="shared" si="30"/>
        <v>1.3974646657062603E-3</v>
      </c>
      <c r="N120" s="209">
        <f t="shared" si="30"/>
        <v>3.774414462267455E-4</v>
      </c>
    </row>
    <row r="122" spans="2:14">
      <c r="F122" s="3">
        <v>25</v>
      </c>
      <c r="G122" s="3" t="s">
        <v>96</v>
      </c>
      <c r="H122" s="3">
        <f>F122*7.5/100</f>
        <v>1.875</v>
      </c>
      <c r="I122" s="3">
        <f>F122*35/100</f>
        <v>8.75</v>
      </c>
      <c r="K122" s="3">
        <f>0.8*E120*H122+0.2*E120*I122</f>
        <v>54204.222222222226</v>
      </c>
      <c r="L122" s="3">
        <f>K122*365</f>
        <v>19784541.111111112</v>
      </c>
      <c r="M122" s="3">
        <f>L122*28%</f>
        <v>5539671.5111111123</v>
      </c>
    </row>
    <row r="123" spans="2:14">
      <c r="H123" s="3">
        <f>0.8*H122</f>
        <v>1.5</v>
      </c>
      <c r="I123" s="3">
        <f>0.2*I122</f>
        <v>1.75</v>
      </c>
    </row>
    <row r="124" spans="2:14" ht="15.75" thickBot="1">
      <c r="B124" s="607" t="s">
        <v>186</v>
      </c>
      <c r="C124" s="608"/>
      <c r="D124" s="608"/>
      <c r="E124" s="608"/>
      <c r="F124" s="608"/>
      <c r="G124" s="608"/>
      <c r="H124" s="608"/>
    </row>
    <row r="125" spans="2:14" ht="30">
      <c r="B125" s="202" t="s">
        <v>158</v>
      </c>
      <c r="C125" s="203" t="s">
        <v>120</v>
      </c>
      <c r="D125" s="203" t="s">
        <v>121</v>
      </c>
      <c r="E125" s="203" t="s">
        <v>183</v>
      </c>
      <c r="F125" s="203" t="s">
        <v>184</v>
      </c>
      <c r="G125" s="203" t="s">
        <v>185</v>
      </c>
      <c r="H125" s="204" t="s">
        <v>122</v>
      </c>
    </row>
    <row r="126" spans="2:14" ht="15.75" thickBot="1">
      <c r="B126" s="115">
        <v>356</v>
      </c>
      <c r="C126" s="205">
        <f>B126*365</f>
        <v>129940</v>
      </c>
      <c r="D126" s="87" t="e">
        <f>C126*#REF!</f>
        <v>#REF!</v>
      </c>
      <c r="E126" s="87" t="e">
        <f>D126*#REF!</f>
        <v>#REF!</v>
      </c>
      <c r="F126" s="87" t="e">
        <f>D126-E126</f>
        <v>#REF!</v>
      </c>
      <c r="G126" s="87" t="e">
        <f>E126*#REF!/1000</f>
        <v>#REF!</v>
      </c>
      <c r="H126" s="206" t="e">
        <f>F126*#REF!</f>
        <v>#REF!</v>
      </c>
    </row>
    <row r="129" spans="5:14">
      <c r="E129" s="3">
        <v>16678</v>
      </c>
      <c r="F129" s="210">
        <v>0.5</v>
      </c>
      <c r="H129" s="3">
        <f>(E129*H123+E129*I123)*365*F129/1000</f>
        <v>9892.1387500000001</v>
      </c>
    </row>
    <row r="130" spans="5:14">
      <c r="H130" s="212">
        <f t="shared" ref="H130:H135" si="31">$H$129*N130</f>
        <v>4222.0078520909656</v>
      </c>
      <c r="K130" s="211">
        <f t="shared" ref="K130:K135" si="32">H130/M130</f>
        <v>2.7331827677995527E-2</v>
      </c>
      <c r="L130" s="3" t="s">
        <v>85</v>
      </c>
      <c r="M130" s="3">
        <v>154472.21100000001</v>
      </c>
      <c r="N130" s="211">
        <f t="shared" ref="N130:N135" si="33">M130/SUM($M$130:$M$135)</f>
        <v>0.42680435028177965</v>
      </c>
    </row>
    <row r="131" spans="5:14">
      <c r="H131" s="212">
        <f t="shared" si="31"/>
        <v>4849.4644287719148</v>
      </c>
      <c r="K131" s="211">
        <f t="shared" si="32"/>
        <v>2.7331827677995527E-2</v>
      </c>
      <c r="L131" s="3" t="s">
        <v>84</v>
      </c>
      <c r="M131" s="3">
        <v>177429.204</v>
      </c>
      <c r="N131" s="211">
        <f t="shared" si="33"/>
        <v>0.49023416991314595</v>
      </c>
    </row>
    <row r="132" spans="5:14">
      <c r="H132" s="212">
        <f t="shared" si="31"/>
        <v>813.02364283169231</v>
      </c>
      <c r="K132" s="211">
        <f t="shared" si="32"/>
        <v>2.7331827677995531E-2</v>
      </c>
      <c r="L132" s="3" t="s">
        <v>83</v>
      </c>
      <c r="M132" s="3">
        <v>29746.405999999999</v>
      </c>
      <c r="N132" s="211">
        <f t="shared" si="33"/>
        <v>8.2188863639998208E-2</v>
      </c>
    </row>
    <row r="133" spans="5:14">
      <c r="H133" s="212">
        <f t="shared" si="31"/>
        <v>7.5548724839577792</v>
      </c>
      <c r="K133" s="211">
        <f t="shared" si="32"/>
        <v>2.7331827677995531E-2</v>
      </c>
      <c r="L133" s="3" t="s">
        <v>80</v>
      </c>
      <c r="M133" s="3">
        <v>276.41300000000001</v>
      </c>
      <c r="N133" s="211">
        <f t="shared" si="33"/>
        <v>7.6372488042161552E-4</v>
      </c>
    </row>
    <row r="134" spans="5:14">
      <c r="H134" s="212">
        <f t="shared" si="31"/>
        <v>6.8247573711954834E-2</v>
      </c>
      <c r="K134" s="211">
        <f t="shared" si="32"/>
        <v>2.7331827677995531E-2</v>
      </c>
      <c r="L134" s="3" t="s">
        <v>162</v>
      </c>
      <c r="M134" s="3">
        <v>2.4969999999999999</v>
      </c>
      <c r="N134" s="211">
        <f t="shared" si="33"/>
        <v>6.8991727104469533E-6</v>
      </c>
    </row>
    <row r="135" spans="5:14">
      <c r="H135" s="212">
        <f t="shared" si="31"/>
        <v>1.9706247755834776E-2</v>
      </c>
      <c r="K135" s="211">
        <f t="shared" si="32"/>
        <v>2.7331827677995531E-2</v>
      </c>
      <c r="L135" s="3" t="s">
        <v>161</v>
      </c>
      <c r="M135" s="3">
        <v>0.72099999999999997</v>
      </c>
      <c r="N135" s="211">
        <f t="shared" si="33"/>
        <v>1.9921119440257321E-6</v>
      </c>
    </row>
    <row r="136" spans="5:14">
      <c r="L136" s="3" t="s">
        <v>77</v>
      </c>
      <c r="M136" s="3">
        <v>0.6</v>
      </c>
    </row>
  </sheetData>
  <mergeCells count="23">
    <mergeCell ref="C82:F82"/>
    <mergeCell ref="K82:N82"/>
    <mergeCell ref="C90:F90"/>
    <mergeCell ref="K90:N90"/>
    <mergeCell ref="B124:H124"/>
    <mergeCell ref="K74:N74"/>
    <mergeCell ref="B41:G41"/>
    <mergeCell ref="I41:O41"/>
    <mergeCell ref="C42:F42"/>
    <mergeCell ref="K42:N42"/>
    <mergeCell ref="C50:F50"/>
    <mergeCell ref="K50:N50"/>
    <mergeCell ref="C58:E58"/>
    <mergeCell ref="K58:M58"/>
    <mergeCell ref="C66:F66"/>
    <mergeCell ref="K66:N66"/>
    <mergeCell ref="C74:F74"/>
    <mergeCell ref="O4:R4"/>
    <mergeCell ref="E4:E5"/>
    <mergeCell ref="F4:G4"/>
    <mergeCell ref="H4:I4"/>
    <mergeCell ref="K4:K5"/>
    <mergeCell ref="L4:N4"/>
  </mergeCells>
  <dataValidations count="1">
    <dataValidation type="list" allowBlank="1" showInputMessage="1" showErrorMessage="1" sqref="E6:E39">
      <formula1>paliwa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B2:K11"/>
  <sheetViews>
    <sheetView workbookViewId="0">
      <selection activeCell="B12" sqref="B12"/>
    </sheetView>
  </sheetViews>
  <sheetFormatPr defaultColWidth="9.140625" defaultRowHeight="15"/>
  <cols>
    <col min="1" max="1" width="9.140625" style="231"/>
    <col min="2" max="2" width="47.28515625" style="231" customWidth="1"/>
    <col min="3" max="4" width="15.85546875" style="231" bestFit="1" customWidth="1"/>
    <col min="5" max="5" width="12.28515625" style="231" bestFit="1" customWidth="1"/>
    <col min="6" max="6" width="15.85546875" style="231" bestFit="1" customWidth="1"/>
    <col min="7" max="16384" width="9.140625" style="231"/>
  </cols>
  <sheetData>
    <row r="2" spans="2:11">
      <c r="G2" s="476"/>
      <c r="H2" s="476"/>
      <c r="I2" s="476"/>
      <c r="J2" s="476"/>
      <c r="K2" s="476"/>
    </row>
    <row r="3" spans="2:11">
      <c r="C3" s="475"/>
    </row>
    <row r="4" spans="2:11">
      <c r="C4" s="509" t="s">
        <v>366</v>
      </c>
      <c r="D4" s="510" t="s">
        <v>367</v>
      </c>
      <c r="E4" s="510" t="s">
        <v>368</v>
      </c>
      <c r="F4" s="510" t="s">
        <v>228</v>
      </c>
    </row>
    <row r="5" spans="2:11">
      <c r="B5" s="231" t="s">
        <v>58</v>
      </c>
      <c r="C5" s="512">
        <v>570230</v>
      </c>
      <c r="D5" s="513">
        <v>2598713</v>
      </c>
      <c r="E5" s="513" t="s">
        <v>332</v>
      </c>
      <c r="F5" s="514">
        <v>3168943</v>
      </c>
    </row>
    <row r="6" spans="2:11">
      <c r="B6" s="231" t="s">
        <v>1</v>
      </c>
      <c r="C6" s="515">
        <v>1361975</v>
      </c>
      <c r="D6" s="516">
        <v>61673</v>
      </c>
      <c r="E6" s="516" t="s">
        <v>331</v>
      </c>
      <c r="F6" s="517">
        <v>1423648</v>
      </c>
    </row>
    <row r="7" spans="2:11">
      <c r="B7" s="231" t="s">
        <v>4</v>
      </c>
      <c r="C7" s="515">
        <v>12291</v>
      </c>
      <c r="D7" s="516" t="s">
        <v>109</v>
      </c>
      <c r="E7" s="516">
        <v>12923</v>
      </c>
      <c r="F7" s="517">
        <v>25214</v>
      </c>
    </row>
    <row r="8" spans="2:11">
      <c r="B8" s="231" t="s">
        <v>364</v>
      </c>
      <c r="C8" s="515">
        <v>1</v>
      </c>
      <c r="D8" s="516" t="s">
        <v>109</v>
      </c>
      <c r="E8" s="516" t="s">
        <v>109</v>
      </c>
      <c r="F8" s="517">
        <v>1</v>
      </c>
    </row>
    <row r="9" spans="2:11">
      <c r="B9" s="231" t="s">
        <v>365</v>
      </c>
      <c r="C9" s="515">
        <v>-7737</v>
      </c>
      <c r="D9" s="516" t="s">
        <v>109</v>
      </c>
      <c r="E9" s="516" t="s">
        <v>109</v>
      </c>
      <c r="F9" s="517">
        <v>-7737</v>
      </c>
    </row>
    <row r="10" spans="2:11">
      <c r="B10" s="231" t="s">
        <v>228</v>
      </c>
      <c r="C10" s="518">
        <v>1936760</v>
      </c>
      <c r="D10" s="519">
        <v>2660386</v>
      </c>
      <c r="E10" s="519">
        <v>12923</v>
      </c>
      <c r="F10" s="520">
        <v>4610069</v>
      </c>
    </row>
    <row r="11" spans="2:11">
      <c r="B11" s="470" t="s">
        <v>369</v>
      </c>
      <c r="C11" s="470"/>
      <c r="D11" s="470"/>
      <c r="E11" s="470"/>
      <c r="F11" s="511">
        <v>4617805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283"/>
  <sheetViews>
    <sheetView topLeftCell="N1" zoomScale="85" zoomScaleNormal="85" workbookViewId="0">
      <selection activeCell="X58" sqref="X58"/>
    </sheetView>
  </sheetViews>
  <sheetFormatPr defaultColWidth="9.140625" defaultRowHeight="12.75"/>
  <cols>
    <col min="1" max="1" width="9.140625" style="238"/>
    <col min="2" max="2" width="37.42578125" style="238" customWidth="1"/>
    <col min="3" max="3" width="17.42578125" style="238" customWidth="1"/>
    <col min="4" max="4" width="16.28515625" style="238" customWidth="1"/>
    <col min="5" max="5" width="13.42578125" style="238" customWidth="1"/>
    <col min="6" max="8" width="11.5703125" style="238" bestFit="1" customWidth="1"/>
    <col min="9" max="9" width="12.7109375" style="238" bestFit="1" customWidth="1"/>
    <col min="10" max="10" width="11.5703125" style="238" bestFit="1" customWidth="1"/>
    <col min="11" max="11" width="10" style="238" bestFit="1" customWidth="1"/>
    <col min="12" max="12" width="11.5703125" style="238" bestFit="1" customWidth="1"/>
    <col min="13" max="13" width="12" style="238" customWidth="1"/>
    <col min="14" max="14" width="11" style="238" customWidth="1"/>
    <col min="15" max="15" width="13.42578125" style="238" customWidth="1"/>
    <col min="16" max="16" width="12.5703125" style="238" customWidth="1"/>
    <col min="17" max="17" width="9.140625" style="238"/>
    <col min="18" max="18" width="12" style="238" customWidth="1"/>
    <col min="19" max="19" width="12.7109375" style="238" bestFit="1" customWidth="1"/>
    <col min="20" max="20" width="9.140625" style="238"/>
    <col min="21" max="21" width="20" style="238" customWidth="1"/>
    <col min="22" max="25" width="9.140625" style="238"/>
    <col min="26" max="26" width="3.85546875" style="238" customWidth="1"/>
    <col min="27" max="16384" width="9.140625" style="238"/>
  </cols>
  <sheetData>
    <row r="1" spans="1:33" s="232" customFormat="1"/>
    <row r="2" spans="1:33" s="232" customFormat="1">
      <c r="B2" s="232" t="s">
        <v>323</v>
      </c>
      <c r="E2" s="232" t="s">
        <v>97</v>
      </c>
    </row>
    <row r="3" spans="1:33" ht="15" customHeight="1">
      <c r="A3" s="233"/>
      <c r="B3" s="234" t="s">
        <v>324</v>
      </c>
      <c r="C3" s="235"/>
      <c r="D3" s="236"/>
      <c r="E3" s="365">
        <v>2020</v>
      </c>
      <c r="F3" s="237"/>
      <c r="G3" s="237"/>
      <c r="H3" s="237"/>
      <c r="I3" s="237"/>
      <c r="J3" s="237"/>
      <c r="K3" s="237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</row>
    <row r="4" spans="1:33" ht="15.75" customHeight="1">
      <c r="A4" s="233"/>
      <c r="B4" s="239" t="s">
        <v>325</v>
      </c>
      <c r="C4" s="240"/>
      <c r="D4" s="240"/>
      <c r="E4" s="368">
        <v>622800</v>
      </c>
      <c r="F4" s="241"/>
      <c r="H4" s="241"/>
      <c r="I4" s="242"/>
      <c r="J4" s="243"/>
      <c r="K4" s="243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</row>
    <row r="5" spans="1:33">
      <c r="A5" s="232"/>
      <c r="B5" s="234" t="s">
        <v>117</v>
      </c>
      <c r="C5" s="235"/>
      <c r="D5" s="237"/>
      <c r="E5" s="367" t="s">
        <v>219</v>
      </c>
      <c r="F5" s="237"/>
      <c r="G5" s="237"/>
      <c r="H5" s="237"/>
      <c r="I5" s="237"/>
      <c r="J5" s="244"/>
      <c r="K5" s="244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</row>
    <row r="6" spans="1:33">
      <c r="A6" s="233"/>
      <c r="B6" s="236" t="s">
        <v>220</v>
      </c>
      <c r="C6" s="245"/>
      <c r="D6" s="246"/>
      <c r="E6" s="366" t="s">
        <v>221</v>
      </c>
      <c r="F6" s="236"/>
      <c r="G6" s="237"/>
      <c r="H6" s="237"/>
      <c r="I6" s="237"/>
      <c r="J6" s="244"/>
      <c r="K6" s="244"/>
      <c r="L6" s="232"/>
      <c r="M6" s="232"/>
      <c r="N6" s="232"/>
      <c r="O6" s="232"/>
      <c r="P6" s="232"/>
      <c r="Q6" s="232"/>
      <c r="R6" s="232"/>
      <c r="S6" s="232"/>
      <c r="T6" s="232"/>
      <c r="U6" s="373"/>
      <c r="V6" s="237" t="s">
        <v>326</v>
      </c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</row>
    <row r="7" spans="1:33" ht="16.5" customHeight="1">
      <c r="A7" s="232"/>
      <c r="B7" s="247"/>
      <c r="C7" s="237"/>
      <c r="D7" s="248"/>
      <c r="E7" s="248"/>
      <c r="F7" s="248"/>
      <c r="G7" s="249"/>
      <c r="H7" s="250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2"/>
      <c r="T7" s="232"/>
      <c r="U7" s="374"/>
      <c r="V7" s="237" t="s">
        <v>327</v>
      </c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</row>
    <row r="8" spans="1:33" ht="19.5" customHeight="1">
      <c r="A8" s="232"/>
      <c r="B8" s="251" t="s">
        <v>312</v>
      </c>
      <c r="C8" s="252"/>
      <c r="D8" s="253"/>
      <c r="E8" s="252"/>
      <c r="F8" s="253"/>
      <c r="G8" s="252"/>
      <c r="H8" s="253"/>
      <c r="I8" s="252"/>
      <c r="J8" s="253"/>
      <c r="K8" s="254"/>
      <c r="L8" s="254"/>
      <c r="M8" s="254"/>
      <c r="N8" s="232"/>
      <c r="O8" s="232"/>
      <c r="P8" s="237"/>
      <c r="Q8" s="237"/>
      <c r="R8" s="237"/>
      <c r="S8" s="232"/>
      <c r="T8" s="232"/>
      <c r="U8" s="371" t="s">
        <v>292</v>
      </c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</row>
    <row r="9" spans="1:33" ht="19.5" customHeight="1">
      <c r="A9" s="232"/>
      <c r="B9" s="251"/>
      <c r="C9" s="252"/>
      <c r="D9" s="253"/>
      <c r="E9" s="252"/>
      <c r="F9" s="253"/>
      <c r="G9" s="252"/>
      <c r="H9" s="253"/>
      <c r="I9" s="252"/>
      <c r="J9" s="253"/>
      <c r="K9" s="254"/>
      <c r="L9" s="254"/>
      <c r="M9" s="254"/>
      <c r="N9" s="232"/>
      <c r="O9" s="232"/>
      <c r="P9" s="237"/>
      <c r="Q9" s="237"/>
      <c r="R9" s="237"/>
      <c r="S9" s="232"/>
      <c r="T9" s="232"/>
      <c r="U9" s="371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</row>
    <row r="10" spans="1:33" ht="15.75" thickBot="1">
      <c r="A10" s="232"/>
      <c r="B10" s="413" t="s">
        <v>293</v>
      </c>
      <c r="C10" s="258"/>
      <c r="D10" s="258"/>
      <c r="E10" s="258"/>
      <c r="F10" s="258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32"/>
      <c r="T10" s="232"/>
      <c r="U10" s="372" t="s">
        <v>294</v>
      </c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</row>
    <row r="11" spans="1:33" ht="15" customHeight="1">
      <c r="A11" s="232"/>
      <c r="B11" s="531" t="s">
        <v>2</v>
      </c>
      <c r="C11" s="532"/>
      <c r="D11" s="535" t="s">
        <v>224</v>
      </c>
      <c r="E11" s="536"/>
      <c r="F11" s="536"/>
      <c r="G11" s="536"/>
      <c r="H11" s="536"/>
      <c r="I11" s="536"/>
      <c r="J11" s="536"/>
      <c r="K11" s="536"/>
      <c r="L11" s="536"/>
      <c r="M11" s="536"/>
      <c r="N11" s="536"/>
      <c r="O11" s="536"/>
      <c r="P11" s="536"/>
      <c r="Q11" s="536"/>
      <c r="R11" s="536"/>
      <c r="S11" s="537"/>
      <c r="T11" s="232"/>
      <c r="U11" s="372" t="s">
        <v>317</v>
      </c>
      <c r="V11" s="372"/>
      <c r="W11" s="372"/>
      <c r="X11" s="372"/>
      <c r="Y11" s="232"/>
      <c r="Z11" s="232"/>
      <c r="AA11" s="232"/>
      <c r="AB11" s="232"/>
      <c r="AC11" s="232"/>
      <c r="AD11" s="232"/>
      <c r="AE11" s="232"/>
      <c r="AF11" s="232"/>
    </row>
    <row r="12" spans="1:33" ht="14.25" customHeight="1">
      <c r="A12" s="232"/>
      <c r="B12" s="533"/>
      <c r="C12" s="534"/>
      <c r="D12" s="538" t="s">
        <v>77</v>
      </c>
      <c r="E12" s="538" t="s">
        <v>225</v>
      </c>
      <c r="F12" s="538" t="s">
        <v>226</v>
      </c>
      <c r="G12" s="538"/>
      <c r="H12" s="538"/>
      <c r="I12" s="538"/>
      <c r="J12" s="538"/>
      <c r="K12" s="538"/>
      <c r="L12" s="538"/>
      <c r="M12" s="538"/>
      <c r="N12" s="538" t="s">
        <v>227</v>
      </c>
      <c r="O12" s="538"/>
      <c r="P12" s="538"/>
      <c r="Q12" s="538"/>
      <c r="R12" s="538"/>
      <c r="S12" s="561" t="s">
        <v>296</v>
      </c>
      <c r="T12" s="232"/>
      <c r="U12" s="372" t="s">
        <v>318</v>
      </c>
      <c r="V12" s="372"/>
      <c r="W12" s="372"/>
      <c r="X12" s="372"/>
      <c r="Y12" s="232"/>
      <c r="Z12" s="232"/>
      <c r="AA12" s="232"/>
      <c r="AB12" s="232"/>
      <c r="AC12" s="232"/>
      <c r="AD12" s="232"/>
      <c r="AE12" s="232"/>
      <c r="AF12" s="232"/>
    </row>
    <row r="13" spans="1:33" ht="26.25" thickBot="1">
      <c r="A13" s="232"/>
      <c r="B13" s="533"/>
      <c r="C13" s="534"/>
      <c r="D13" s="539"/>
      <c r="E13" s="539"/>
      <c r="F13" s="260" t="s">
        <v>80</v>
      </c>
      <c r="G13" s="260" t="s">
        <v>229</v>
      </c>
      <c r="H13" s="260" t="s">
        <v>82</v>
      </c>
      <c r="I13" s="260" t="s">
        <v>84</v>
      </c>
      <c r="J13" s="260" t="s">
        <v>85</v>
      </c>
      <c r="K13" s="260" t="s">
        <v>230</v>
      </c>
      <c r="L13" s="260" t="s">
        <v>86</v>
      </c>
      <c r="M13" s="260" t="s">
        <v>231</v>
      </c>
      <c r="N13" s="260" t="s">
        <v>232</v>
      </c>
      <c r="O13" s="260" t="s">
        <v>233</v>
      </c>
      <c r="P13" s="260" t="s">
        <v>234</v>
      </c>
      <c r="Q13" s="260" t="s">
        <v>235</v>
      </c>
      <c r="R13" s="260" t="s">
        <v>236</v>
      </c>
      <c r="S13" s="562"/>
      <c r="T13" s="232"/>
      <c r="U13" s="372" t="s">
        <v>295</v>
      </c>
      <c r="V13" s="372"/>
      <c r="W13" s="372"/>
      <c r="X13" s="372"/>
      <c r="Y13" s="232"/>
      <c r="Z13" s="232"/>
      <c r="AA13" s="232"/>
      <c r="AB13" s="232"/>
      <c r="AC13" s="232"/>
      <c r="AD13" s="232"/>
      <c r="AE13" s="232"/>
      <c r="AF13" s="232"/>
    </row>
    <row r="14" spans="1:33" ht="15" customHeight="1" thickTop="1" thickBot="1">
      <c r="A14" s="232"/>
      <c r="B14" s="261" t="s">
        <v>237</v>
      </c>
      <c r="C14" s="262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3"/>
      <c r="T14" s="232"/>
      <c r="U14" s="372" t="s">
        <v>313</v>
      </c>
      <c r="V14" s="372"/>
      <c r="W14" s="372"/>
      <c r="X14" s="372"/>
      <c r="Y14" s="391">
        <f>SUM_SEAP!E3</f>
        <v>2021</v>
      </c>
      <c r="Z14" s="232"/>
      <c r="AA14" s="232"/>
      <c r="AB14" s="232"/>
      <c r="AC14" s="232"/>
      <c r="AD14" s="232"/>
      <c r="AE14" s="232"/>
      <c r="AF14" s="232"/>
    </row>
    <row r="15" spans="1:33" ht="14.25" customHeight="1">
      <c r="A15" s="232"/>
      <c r="B15" s="265" t="s">
        <v>238</v>
      </c>
      <c r="C15" s="266"/>
      <c r="D15" s="393">
        <f>D$30</f>
        <v>-2.4444444444444446E-2</v>
      </c>
      <c r="E15" s="393">
        <f t="shared" ref="E15:R15" si="0">E$30</f>
        <v>-2.297297297297296E-2</v>
      </c>
      <c r="F15" s="393">
        <f t="shared" si="0"/>
        <v>-1.684210526315788E-2</v>
      </c>
      <c r="G15" s="393">
        <f t="shared" si="0"/>
        <v>-8.48214285714286E-3</v>
      </c>
      <c r="H15" s="393">
        <f t="shared" si="0"/>
        <v>-8.48214285714286E-3</v>
      </c>
      <c r="I15" s="393">
        <f t="shared" si="0"/>
        <v>-8.48214285714286E-3</v>
      </c>
      <c r="J15" s="393">
        <f t="shared" si="0"/>
        <v>-8.48214285714286E-3</v>
      </c>
      <c r="K15" s="393">
        <f t="shared" si="0"/>
        <v>5.5045871559633031E-3</v>
      </c>
      <c r="L15" s="393">
        <f t="shared" si="0"/>
        <v>5.5045871559633031E-3</v>
      </c>
      <c r="M15" s="393">
        <f t="shared" si="0"/>
        <v>-3.85E-2</v>
      </c>
      <c r="N15" s="393">
        <f t="shared" si="0"/>
        <v>-2.8260869565217405E-2</v>
      </c>
      <c r="O15" s="393">
        <f t="shared" si="0"/>
        <v>-2.8260869565217405E-2</v>
      </c>
      <c r="P15" s="393">
        <f t="shared" si="0"/>
        <v>-2.8260869565217405E-2</v>
      </c>
      <c r="Q15" s="393">
        <f t="shared" si="0"/>
        <v>-2.8260869565217405E-2</v>
      </c>
      <c r="R15" s="393">
        <f t="shared" si="0"/>
        <v>-2.8260869565217405E-2</v>
      </c>
      <c r="S15" s="392">
        <v>0</v>
      </c>
      <c r="T15" s="232"/>
      <c r="U15" s="372"/>
      <c r="V15" s="372"/>
      <c r="W15" s="372"/>
      <c r="X15" s="372"/>
      <c r="Y15" s="232"/>
      <c r="Z15" s="232"/>
      <c r="AA15" s="232"/>
      <c r="AB15" s="232"/>
      <c r="AC15" s="232"/>
      <c r="AD15" s="232"/>
      <c r="AE15" s="232"/>
      <c r="AF15" s="232"/>
    </row>
    <row r="16" spans="1:33" ht="14.25" customHeight="1" thickBot="1">
      <c r="A16" s="232"/>
      <c r="B16" s="269" t="s">
        <v>239</v>
      </c>
      <c r="C16" s="270"/>
      <c r="D16" s="393">
        <f t="shared" ref="D16:R18" si="1">D$30</f>
        <v>-2.4444444444444446E-2</v>
      </c>
      <c r="E16" s="393">
        <f t="shared" si="1"/>
        <v>-2.297297297297296E-2</v>
      </c>
      <c r="F16" s="393">
        <f t="shared" si="1"/>
        <v>-1.684210526315788E-2</v>
      </c>
      <c r="G16" s="393">
        <f t="shared" si="1"/>
        <v>-8.48214285714286E-3</v>
      </c>
      <c r="H16" s="393">
        <f t="shared" si="1"/>
        <v>-8.48214285714286E-3</v>
      </c>
      <c r="I16" s="393">
        <f t="shared" si="1"/>
        <v>-8.48214285714286E-3</v>
      </c>
      <c r="J16" s="393">
        <f t="shared" si="1"/>
        <v>-8.48214285714286E-3</v>
      </c>
      <c r="K16" s="393">
        <f t="shared" si="1"/>
        <v>5.5045871559633031E-3</v>
      </c>
      <c r="L16" s="393">
        <f t="shared" si="1"/>
        <v>5.5045871559633031E-3</v>
      </c>
      <c r="M16" s="393">
        <f t="shared" si="1"/>
        <v>-3.85E-2</v>
      </c>
      <c r="N16" s="393">
        <f t="shared" si="1"/>
        <v>-2.8260869565217405E-2</v>
      </c>
      <c r="O16" s="393">
        <f t="shared" si="1"/>
        <v>-2.8260869565217405E-2</v>
      </c>
      <c r="P16" s="393">
        <f t="shared" si="1"/>
        <v>-2.8260869565217405E-2</v>
      </c>
      <c r="Q16" s="393">
        <f t="shared" si="1"/>
        <v>-2.8260869565217405E-2</v>
      </c>
      <c r="R16" s="393">
        <f t="shared" si="1"/>
        <v>-2.8260869565217405E-2</v>
      </c>
      <c r="S16" s="388">
        <f>AA20</f>
        <v>-3.3333333333333347E-2</v>
      </c>
      <c r="T16" s="232"/>
      <c r="U16" s="376" t="s">
        <v>297</v>
      </c>
      <c r="V16" s="377"/>
      <c r="W16" s="377"/>
      <c r="X16" s="377"/>
      <c r="Y16" s="372"/>
      <c r="Z16" s="232"/>
      <c r="AA16" s="232"/>
      <c r="AB16" s="232"/>
      <c r="AC16" s="232"/>
      <c r="AD16" s="232"/>
      <c r="AE16" s="232"/>
      <c r="AF16" s="232"/>
    </row>
    <row r="17" spans="1:33" ht="15" customHeight="1">
      <c r="A17" s="232"/>
      <c r="B17" s="269" t="s">
        <v>0</v>
      </c>
      <c r="C17" s="270"/>
      <c r="D17" s="393">
        <f t="shared" si="1"/>
        <v>-2.4444444444444446E-2</v>
      </c>
      <c r="E17" s="393">
        <f t="shared" si="1"/>
        <v>-2.297297297297296E-2</v>
      </c>
      <c r="F17" s="393">
        <f t="shared" si="1"/>
        <v>-1.684210526315788E-2</v>
      </c>
      <c r="G17" s="393">
        <f t="shared" si="1"/>
        <v>-8.48214285714286E-3</v>
      </c>
      <c r="H17" s="393">
        <f t="shared" si="1"/>
        <v>-8.48214285714286E-3</v>
      </c>
      <c r="I17" s="393">
        <f t="shared" si="1"/>
        <v>-8.48214285714286E-3</v>
      </c>
      <c r="J17" s="393">
        <f t="shared" si="1"/>
        <v>-8.48214285714286E-3</v>
      </c>
      <c r="K17" s="393">
        <f t="shared" si="1"/>
        <v>5.5045871559633031E-3</v>
      </c>
      <c r="L17" s="393">
        <f t="shared" si="1"/>
        <v>5.5045871559633031E-3</v>
      </c>
      <c r="M17" s="393">
        <f t="shared" si="1"/>
        <v>-3.85E-2</v>
      </c>
      <c r="N17" s="393">
        <f t="shared" si="1"/>
        <v>-2.8260869565217405E-2</v>
      </c>
      <c r="O17" s="393">
        <f t="shared" si="1"/>
        <v>-2.8260869565217405E-2</v>
      </c>
      <c r="P17" s="393">
        <f t="shared" si="1"/>
        <v>-2.8260869565217405E-2</v>
      </c>
      <c r="Q17" s="393">
        <f t="shared" si="1"/>
        <v>-2.8260869565217405E-2</v>
      </c>
      <c r="R17" s="393">
        <f t="shared" si="1"/>
        <v>-2.8260869565217405E-2</v>
      </c>
      <c r="S17" s="388">
        <f>AA21</f>
        <v>-2.1052631578947212E-3</v>
      </c>
      <c r="T17" s="232"/>
      <c r="U17" s="376" t="s">
        <v>298</v>
      </c>
      <c r="V17" s="376">
        <v>2010</v>
      </c>
      <c r="W17" s="376">
        <v>2020</v>
      </c>
      <c r="X17" s="376" t="s">
        <v>115</v>
      </c>
      <c r="Y17" s="371" t="s">
        <v>314</v>
      </c>
      <c r="Z17" s="232"/>
      <c r="AA17" s="385" t="s">
        <v>316</v>
      </c>
      <c r="AB17" s="232"/>
      <c r="AC17" s="232"/>
      <c r="AD17" s="232"/>
      <c r="AE17" s="232"/>
      <c r="AF17" s="232"/>
    </row>
    <row r="18" spans="1:33" ht="15" customHeight="1">
      <c r="A18" s="232"/>
      <c r="B18" s="269" t="s">
        <v>42</v>
      </c>
      <c r="C18" s="270"/>
      <c r="D18" s="393">
        <f t="shared" si="1"/>
        <v>-2.4444444444444446E-2</v>
      </c>
      <c r="E18" s="393">
        <f t="shared" si="1"/>
        <v>-2.297297297297296E-2</v>
      </c>
      <c r="F18" s="393">
        <f t="shared" si="1"/>
        <v>-1.684210526315788E-2</v>
      </c>
      <c r="G18" s="393">
        <f t="shared" si="1"/>
        <v>-8.48214285714286E-3</v>
      </c>
      <c r="H18" s="393">
        <f t="shared" si="1"/>
        <v>-8.48214285714286E-3</v>
      </c>
      <c r="I18" s="393">
        <f t="shared" si="1"/>
        <v>-8.48214285714286E-3</v>
      </c>
      <c r="J18" s="393">
        <f t="shared" si="1"/>
        <v>-8.48214285714286E-3</v>
      </c>
      <c r="K18" s="393">
        <f t="shared" si="1"/>
        <v>5.5045871559633031E-3</v>
      </c>
      <c r="L18" s="393">
        <f t="shared" si="1"/>
        <v>5.5045871559633031E-3</v>
      </c>
      <c r="M18" s="393">
        <f t="shared" si="1"/>
        <v>-3.85E-2</v>
      </c>
      <c r="N18" s="393">
        <f t="shared" si="1"/>
        <v>-2.8260869565217405E-2</v>
      </c>
      <c r="O18" s="393">
        <f t="shared" si="1"/>
        <v>-2.8260869565217405E-2</v>
      </c>
      <c r="P18" s="393">
        <f t="shared" si="1"/>
        <v>-2.8260869565217405E-2</v>
      </c>
      <c r="Q18" s="393">
        <f t="shared" si="1"/>
        <v>-2.8260869565217405E-2</v>
      </c>
      <c r="R18" s="393">
        <f t="shared" si="1"/>
        <v>-2.8260869565217405E-2</v>
      </c>
      <c r="S18" s="392">
        <v>0</v>
      </c>
      <c r="T18" s="232"/>
      <c r="U18" s="377" t="s">
        <v>299</v>
      </c>
      <c r="V18" s="377">
        <v>18.2</v>
      </c>
      <c r="W18" s="377">
        <v>20.9</v>
      </c>
      <c r="X18" s="378">
        <f>(W18/V18)-1</f>
        <v>0.14835164835164827</v>
      </c>
      <c r="Y18" s="382">
        <f>X18/10</f>
        <v>1.4835164835164828E-2</v>
      </c>
      <c r="Z18" s="232"/>
      <c r="AA18" s="383">
        <f>(2020-$Y$14)*Y18</f>
        <v>-1.4835164835164828E-2</v>
      </c>
      <c r="AB18" s="549" t="s">
        <v>315</v>
      </c>
      <c r="AC18" s="232"/>
      <c r="AD18" s="232"/>
      <c r="AE18" s="232"/>
      <c r="AF18" s="232"/>
    </row>
    <row r="19" spans="1:33" ht="15" customHeight="1">
      <c r="A19" s="232"/>
      <c r="B19" s="541" t="s">
        <v>11</v>
      </c>
      <c r="C19" s="350" t="s">
        <v>240</v>
      </c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89"/>
      <c r="T19" s="232"/>
      <c r="U19" s="379" t="s">
        <v>300</v>
      </c>
      <c r="V19" s="379">
        <v>15.5</v>
      </c>
      <c r="W19" s="379">
        <v>18.7</v>
      </c>
      <c r="X19" s="378">
        <f>(W19/V19)-1</f>
        <v>0.20645161290322567</v>
      </c>
      <c r="Y19" s="382">
        <f t="shared" ref="Y19:Y29" si="2">X19/10</f>
        <v>2.0645161290322567E-2</v>
      </c>
      <c r="Z19" s="232"/>
      <c r="AA19" s="383">
        <f>(2020-$Y$14)*Y19</f>
        <v>-2.0645161290322567E-2</v>
      </c>
      <c r="AB19" s="549"/>
      <c r="AC19" s="232"/>
      <c r="AD19" s="232"/>
      <c r="AE19" s="232"/>
      <c r="AF19" s="232"/>
    </row>
    <row r="20" spans="1:33" ht="18.75" customHeight="1">
      <c r="A20" s="232"/>
      <c r="B20" s="542"/>
      <c r="C20" s="351" t="s">
        <v>241</v>
      </c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349"/>
      <c r="P20" s="349"/>
      <c r="Q20" s="349"/>
      <c r="R20" s="349"/>
      <c r="S20" s="389"/>
      <c r="T20" s="232"/>
      <c r="U20" s="379" t="s">
        <v>301</v>
      </c>
      <c r="V20" s="379">
        <v>6.6</v>
      </c>
      <c r="W20" s="379">
        <v>8.8000000000000007</v>
      </c>
      <c r="X20" s="378">
        <f t="shared" ref="X20:X29" si="3">(W20/V20)-1</f>
        <v>0.33333333333333348</v>
      </c>
      <c r="Y20" s="382">
        <f t="shared" si="2"/>
        <v>3.3333333333333347E-2</v>
      </c>
      <c r="Z20" s="232"/>
      <c r="AA20" s="383">
        <f>(2020-$Y$14)*Y20</f>
        <v>-3.3333333333333347E-2</v>
      </c>
      <c r="AB20" s="549"/>
      <c r="AC20" s="232"/>
      <c r="AD20" s="232"/>
      <c r="AE20" s="232"/>
      <c r="AF20" s="232"/>
    </row>
    <row r="21" spans="1:33" ht="18.75" customHeight="1">
      <c r="A21" s="232"/>
      <c r="B21" s="543"/>
      <c r="C21" s="272" t="s">
        <v>228</v>
      </c>
      <c r="D21" s="393">
        <f t="shared" ref="D21:R21" si="4">D$30</f>
        <v>-2.4444444444444446E-2</v>
      </c>
      <c r="E21" s="393">
        <f t="shared" si="4"/>
        <v>-2.297297297297296E-2</v>
      </c>
      <c r="F21" s="393">
        <f t="shared" si="4"/>
        <v>-1.684210526315788E-2</v>
      </c>
      <c r="G21" s="393">
        <f t="shared" si="4"/>
        <v>-8.48214285714286E-3</v>
      </c>
      <c r="H21" s="393">
        <f t="shared" si="4"/>
        <v>-8.48214285714286E-3</v>
      </c>
      <c r="I21" s="393">
        <f t="shared" si="4"/>
        <v>-8.48214285714286E-3</v>
      </c>
      <c r="J21" s="393">
        <f t="shared" si="4"/>
        <v>-8.48214285714286E-3</v>
      </c>
      <c r="K21" s="393">
        <f t="shared" si="4"/>
        <v>5.5045871559633031E-3</v>
      </c>
      <c r="L21" s="393">
        <f t="shared" si="4"/>
        <v>5.5045871559633031E-3</v>
      </c>
      <c r="M21" s="393">
        <f t="shared" si="4"/>
        <v>-3.85E-2</v>
      </c>
      <c r="N21" s="393">
        <f t="shared" si="4"/>
        <v>-2.8260869565217405E-2</v>
      </c>
      <c r="O21" s="393">
        <f t="shared" si="4"/>
        <v>-2.8260869565217405E-2</v>
      </c>
      <c r="P21" s="393">
        <f t="shared" si="4"/>
        <v>-2.8260869565217405E-2</v>
      </c>
      <c r="Q21" s="393">
        <f t="shared" si="4"/>
        <v>-2.8260869565217405E-2</v>
      </c>
      <c r="R21" s="393">
        <f t="shared" si="4"/>
        <v>-2.8260869565217405E-2</v>
      </c>
      <c r="S21" s="390">
        <f>AA18</f>
        <v>-1.4835164835164828E-2</v>
      </c>
      <c r="T21" s="232"/>
      <c r="U21" s="379" t="s">
        <v>302</v>
      </c>
      <c r="V21" s="379">
        <v>19</v>
      </c>
      <c r="W21" s="379">
        <v>19.399999999999999</v>
      </c>
      <c r="X21" s="378">
        <f t="shared" si="3"/>
        <v>2.1052631578947212E-2</v>
      </c>
      <c r="Y21" s="382">
        <f t="shared" si="2"/>
        <v>2.1052631578947212E-3</v>
      </c>
      <c r="Z21" s="232"/>
      <c r="AA21" s="383">
        <f>(2020-$Y$14)*Y21</f>
        <v>-2.1052631578947212E-3</v>
      </c>
      <c r="AB21" s="549"/>
      <c r="AC21" s="232"/>
      <c r="AD21" s="232"/>
      <c r="AE21" s="232"/>
      <c r="AF21" s="232"/>
    </row>
    <row r="22" spans="1:33" ht="15" customHeight="1" thickBot="1">
      <c r="A22" s="232"/>
      <c r="B22" s="275" t="s">
        <v>242</v>
      </c>
      <c r="C22" s="276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  <c r="P22" s="277"/>
      <c r="Q22" s="277"/>
      <c r="R22" s="277"/>
      <c r="S22" s="277"/>
      <c r="T22" s="232"/>
      <c r="U22" s="380" t="s">
        <v>303</v>
      </c>
      <c r="V22" s="380">
        <v>2010</v>
      </c>
      <c r="W22" s="380">
        <v>2020</v>
      </c>
      <c r="X22" s="381" t="s">
        <v>99</v>
      </c>
      <c r="Y22" s="371" t="s">
        <v>314</v>
      </c>
      <c r="Z22" s="232"/>
      <c r="AA22" s="383"/>
      <c r="AB22" s="549"/>
      <c r="AC22" s="232"/>
      <c r="AD22" s="232"/>
      <c r="AE22" s="232"/>
      <c r="AF22" s="232"/>
    </row>
    <row r="23" spans="1:33" ht="15" customHeight="1">
      <c r="A23" s="232"/>
      <c r="B23" s="279" t="s">
        <v>243</v>
      </c>
      <c r="C23" s="280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32"/>
      <c r="U23" s="379" t="s">
        <v>304</v>
      </c>
      <c r="V23" s="379">
        <v>10.9</v>
      </c>
      <c r="W23" s="379">
        <v>10.3</v>
      </c>
      <c r="X23" s="378">
        <f t="shared" si="3"/>
        <v>-5.5045871559633031E-2</v>
      </c>
      <c r="Y23" s="382">
        <f t="shared" si="2"/>
        <v>-5.5045871559633031E-3</v>
      </c>
      <c r="Z23" s="232"/>
      <c r="AA23" s="383">
        <f t="shared" ref="AA23:AA29" si="5">(2020-$Y$14)*Y23</f>
        <v>5.5045871559633031E-3</v>
      </c>
      <c r="AB23" s="549"/>
      <c r="AC23" s="232"/>
      <c r="AD23" s="232"/>
      <c r="AE23" s="232"/>
      <c r="AF23" s="232"/>
    </row>
    <row r="24" spans="1:33" ht="15" customHeight="1">
      <c r="A24" s="232"/>
      <c r="B24" s="269" t="s">
        <v>244</v>
      </c>
      <c r="C24" s="283"/>
      <c r="D24" s="393">
        <f t="shared" ref="D24:R26" si="6">D$30</f>
        <v>-2.4444444444444446E-2</v>
      </c>
      <c r="E24" s="393">
        <f t="shared" si="6"/>
        <v>-2.297297297297296E-2</v>
      </c>
      <c r="F24" s="393">
        <f t="shared" si="6"/>
        <v>-1.684210526315788E-2</v>
      </c>
      <c r="G24" s="393">
        <f t="shared" si="6"/>
        <v>-8.48214285714286E-3</v>
      </c>
      <c r="H24" s="393">
        <f t="shared" si="6"/>
        <v>-8.48214285714286E-3</v>
      </c>
      <c r="I24" s="393">
        <f t="shared" si="6"/>
        <v>-8.48214285714286E-3</v>
      </c>
      <c r="J24" s="393">
        <f t="shared" si="6"/>
        <v>-8.48214285714286E-3</v>
      </c>
      <c r="K24" s="393">
        <f t="shared" si="6"/>
        <v>5.5045871559633031E-3</v>
      </c>
      <c r="L24" s="393">
        <f t="shared" si="6"/>
        <v>5.5045871559633031E-3</v>
      </c>
      <c r="M24" s="393">
        <f t="shared" si="6"/>
        <v>-3.85E-2</v>
      </c>
      <c r="N24" s="393">
        <f t="shared" si="6"/>
        <v>-2.8260869565217405E-2</v>
      </c>
      <c r="O24" s="393">
        <f t="shared" si="6"/>
        <v>-2.8260869565217405E-2</v>
      </c>
      <c r="P24" s="393">
        <f t="shared" si="6"/>
        <v>-2.8260869565217405E-2</v>
      </c>
      <c r="Q24" s="393">
        <f t="shared" si="6"/>
        <v>-2.8260869565217405E-2</v>
      </c>
      <c r="R24" s="393">
        <f t="shared" si="6"/>
        <v>-2.8260869565217405E-2</v>
      </c>
      <c r="S24" s="392">
        <v>0</v>
      </c>
      <c r="T24" s="232"/>
      <c r="U24" s="379" t="s">
        <v>305</v>
      </c>
      <c r="V24" s="379">
        <v>22.4</v>
      </c>
      <c r="W24" s="379">
        <v>24.3</v>
      </c>
      <c r="X24" s="378">
        <f t="shared" si="3"/>
        <v>8.4821428571428603E-2</v>
      </c>
      <c r="Y24" s="382">
        <f t="shared" si="2"/>
        <v>8.48214285714286E-3</v>
      </c>
      <c r="Z24" s="232"/>
      <c r="AA24" s="383">
        <f t="shared" si="5"/>
        <v>-8.48214285714286E-3</v>
      </c>
      <c r="AB24" s="549"/>
      <c r="AC24" s="232"/>
      <c r="AD24" s="232"/>
      <c r="AE24" s="232"/>
      <c r="AF24" s="232"/>
    </row>
    <row r="25" spans="1:33" ht="15" customHeight="1">
      <c r="A25" s="232"/>
      <c r="B25" s="269" t="s">
        <v>245</v>
      </c>
      <c r="C25" s="283"/>
      <c r="D25" s="393">
        <f t="shared" si="6"/>
        <v>-2.4444444444444446E-2</v>
      </c>
      <c r="E25" s="393">
        <f t="shared" si="6"/>
        <v>-2.297297297297296E-2</v>
      </c>
      <c r="F25" s="393">
        <f t="shared" si="6"/>
        <v>-1.684210526315788E-2</v>
      </c>
      <c r="G25" s="393">
        <f t="shared" si="6"/>
        <v>-8.48214285714286E-3</v>
      </c>
      <c r="H25" s="393">
        <f t="shared" si="6"/>
        <v>-8.48214285714286E-3</v>
      </c>
      <c r="I25" s="393">
        <f t="shared" si="6"/>
        <v>-8.48214285714286E-3</v>
      </c>
      <c r="J25" s="393">
        <f t="shared" si="6"/>
        <v>-8.48214285714286E-3</v>
      </c>
      <c r="K25" s="393">
        <f t="shared" si="6"/>
        <v>5.5045871559633031E-3</v>
      </c>
      <c r="L25" s="393">
        <f t="shared" si="6"/>
        <v>5.5045871559633031E-3</v>
      </c>
      <c r="M25" s="393">
        <f t="shared" si="6"/>
        <v>-3.85E-2</v>
      </c>
      <c r="N25" s="393">
        <f t="shared" si="6"/>
        <v>-2.8260869565217405E-2</v>
      </c>
      <c r="O25" s="393">
        <f t="shared" si="6"/>
        <v>-2.8260869565217405E-2</v>
      </c>
      <c r="P25" s="393">
        <f t="shared" si="6"/>
        <v>-2.8260869565217405E-2</v>
      </c>
      <c r="Q25" s="393">
        <f t="shared" si="6"/>
        <v>-2.8260869565217405E-2</v>
      </c>
      <c r="R25" s="393">
        <f t="shared" si="6"/>
        <v>-2.8260869565217405E-2</v>
      </c>
      <c r="S25" s="388">
        <f>AA19</f>
        <v>-2.0645161290322567E-2</v>
      </c>
      <c r="T25" s="232"/>
      <c r="U25" s="379" t="s">
        <v>306</v>
      </c>
      <c r="V25" s="379">
        <v>9.5</v>
      </c>
      <c r="W25" s="379">
        <v>11.1</v>
      </c>
      <c r="X25" s="378">
        <f t="shared" si="3"/>
        <v>0.1684210526315788</v>
      </c>
      <c r="Y25" s="382">
        <f t="shared" si="2"/>
        <v>1.684210526315788E-2</v>
      </c>
      <c r="Z25" s="232"/>
      <c r="AA25" s="383">
        <f t="shared" si="5"/>
        <v>-1.684210526315788E-2</v>
      </c>
      <c r="AB25" s="549"/>
      <c r="AC25" s="232"/>
      <c r="AD25" s="232"/>
      <c r="AE25" s="232"/>
      <c r="AF25" s="232"/>
    </row>
    <row r="26" spans="1:33" ht="15" customHeight="1">
      <c r="A26" s="232"/>
      <c r="B26" s="269" t="s">
        <v>246</v>
      </c>
      <c r="C26" s="283"/>
      <c r="D26" s="393">
        <f t="shared" si="6"/>
        <v>-2.4444444444444446E-2</v>
      </c>
      <c r="E26" s="393">
        <f t="shared" si="6"/>
        <v>-2.297297297297296E-2</v>
      </c>
      <c r="F26" s="393">
        <f t="shared" si="6"/>
        <v>-1.684210526315788E-2</v>
      </c>
      <c r="G26" s="393">
        <f t="shared" si="6"/>
        <v>-8.48214285714286E-3</v>
      </c>
      <c r="H26" s="393">
        <f t="shared" si="6"/>
        <v>-8.48214285714286E-3</v>
      </c>
      <c r="I26" s="393">
        <f t="shared" si="6"/>
        <v>-8.48214285714286E-3</v>
      </c>
      <c r="J26" s="393">
        <f t="shared" si="6"/>
        <v>-8.48214285714286E-3</v>
      </c>
      <c r="K26" s="393">
        <f t="shared" si="6"/>
        <v>5.5045871559633031E-3</v>
      </c>
      <c r="L26" s="393">
        <f t="shared" si="6"/>
        <v>5.5045871559633031E-3</v>
      </c>
      <c r="M26" s="393">
        <f t="shared" si="6"/>
        <v>-3.85E-2</v>
      </c>
      <c r="N26" s="393">
        <f t="shared" si="6"/>
        <v>-2.8260869565217405E-2</v>
      </c>
      <c r="O26" s="393">
        <f t="shared" si="6"/>
        <v>-2.8260869565217405E-2</v>
      </c>
      <c r="P26" s="393">
        <f t="shared" si="6"/>
        <v>-2.8260869565217405E-2</v>
      </c>
      <c r="Q26" s="393">
        <f t="shared" si="6"/>
        <v>-2.8260869565217405E-2</v>
      </c>
      <c r="R26" s="393">
        <f t="shared" si="6"/>
        <v>-2.8260869565217405E-2</v>
      </c>
      <c r="S26" s="388">
        <f>AA19</f>
        <v>-2.0645161290322567E-2</v>
      </c>
      <c r="T26" s="232"/>
      <c r="U26" s="379" t="s">
        <v>307</v>
      </c>
      <c r="V26" s="379">
        <v>4.5999999999999996</v>
      </c>
      <c r="W26" s="379">
        <v>5.9</v>
      </c>
      <c r="X26" s="378">
        <f t="shared" si="3"/>
        <v>0.28260869565217406</v>
      </c>
      <c r="Y26" s="382">
        <f t="shared" si="2"/>
        <v>2.8260869565217405E-2</v>
      </c>
      <c r="Z26" s="232"/>
      <c r="AA26" s="383">
        <f t="shared" si="5"/>
        <v>-2.8260869565217405E-2</v>
      </c>
      <c r="AB26" s="549"/>
      <c r="AC26" s="232"/>
      <c r="AD26" s="232"/>
      <c r="AE26" s="232"/>
      <c r="AF26" s="232"/>
    </row>
    <row r="27" spans="1:33" ht="15" customHeight="1" thickBot="1">
      <c r="A27" s="232"/>
      <c r="B27" s="544" t="s">
        <v>247</v>
      </c>
      <c r="C27" s="545"/>
      <c r="D27" s="277"/>
      <c r="E27" s="277"/>
      <c r="F27" s="277"/>
      <c r="G27" s="277"/>
      <c r="H27" s="277"/>
      <c r="I27" s="277"/>
      <c r="J27" s="277"/>
      <c r="K27" s="277"/>
      <c r="L27" s="277"/>
      <c r="M27" s="277"/>
      <c r="N27" s="277"/>
      <c r="O27" s="277"/>
      <c r="P27" s="277"/>
      <c r="Q27" s="277"/>
      <c r="R27" s="277"/>
      <c r="S27" s="277"/>
      <c r="T27" s="232"/>
      <c r="U27" s="379" t="s">
        <v>308</v>
      </c>
      <c r="V27" s="379">
        <v>9</v>
      </c>
      <c r="W27" s="379">
        <v>11.2</v>
      </c>
      <c r="X27" s="378">
        <f t="shared" si="3"/>
        <v>0.24444444444444446</v>
      </c>
      <c r="Y27" s="382">
        <f t="shared" si="2"/>
        <v>2.4444444444444446E-2</v>
      </c>
      <c r="Z27" s="232"/>
      <c r="AA27" s="383">
        <f t="shared" si="5"/>
        <v>-2.4444444444444446E-2</v>
      </c>
      <c r="AB27" s="549"/>
      <c r="AC27" s="232"/>
      <c r="AD27" s="232"/>
      <c r="AE27" s="232"/>
      <c r="AF27" s="232"/>
    </row>
    <row r="28" spans="1:33">
      <c r="A28" s="232"/>
      <c r="B28" s="284" t="s">
        <v>248</v>
      </c>
      <c r="C28" s="280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32"/>
      <c r="U28" s="379" t="s">
        <v>309</v>
      </c>
      <c r="V28" s="379">
        <v>7.4</v>
      </c>
      <c r="W28" s="379">
        <v>9.1</v>
      </c>
      <c r="X28" s="378">
        <f t="shared" si="3"/>
        <v>0.2297297297297296</v>
      </c>
      <c r="Y28" s="382">
        <f t="shared" si="2"/>
        <v>2.297297297297296E-2</v>
      </c>
      <c r="Z28" s="232"/>
      <c r="AA28" s="383">
        <f t="shared" si="5"/>
        <v>-2.297297297297296E-2</v>
      </c>
      <c r="AB28" s="549"/>
      <c r="AC28" s="232"/>
      <c r="AD28" s="232"/>
      <c r="AE28" s="232"/>
      <c r="AF28" s="232"/>
    </row>
    <row r="29" spans="1:33" ht="15" customHeight="1" thickBot="1">
      <c r="A29" s="232"/>
      <c r="B29" s="269" t="s">
        <v>249</v>
      </c>
      <c r="C29" s="283"/>
      <c r="D29" s="393">
        <f t="shared" ref="D29:R29" si="7">D$30</f>
        <v>-2.4444444444444446E-2</v>
      </c>
      <c r="E29" s="393">
        <f t="shared" si="7"/>
        <v>-2.297297297297296E-2</v>
      </c>
      <c r="F29" s="393">
        <f t="shared" si="7"/>
        <v>-1.684210526315788E-2</v>
      </c>
      <c r="G29" s="393">
        <f t="shared" si="7"/>
        <v>-8.48214285714286E-3</v>
      </c>
      <c r="H29" s="393">
        <f t="shared" si="7"/>
        <v>-8.48214285714286E-3</v>
      </c>
      <c r="I29" s="393">
        <f t="shared" si="7"/>
        <v>-8.48214285714286E-3</v>
      </c>
      <c r="J29" s="393">
        <f t="shared" si="7"/>
        <v>-8.48214285714286E-3</v>
      </c>
      <c r="K29" s="393">
        <f t="shared" si="7"/>
        <v>5.5045871559633031E-3</v>
      </c>
      <c r="L29" s="393">
        <f t="shared" si="7"/>
        <v>5.5045871559633031E-3</v>
      </c>
      <c r="M29" s="393">
        <f t="shared" si="7"/>
        <v>-3.85E-2</v>
      </c>
      <c r="N29" s="393">
        <f t="shared" si="7"/>
        <v>-2.8260869565217405E-2</v>
      </c>
      <c r="O29" s="393">
        <f t="shared" si="7"/>
        <v>-2.8260869565217405E-2</v>
      </c>
      <c r="P29" s="393">
        <f t="shared" si="7"/>
        <v>-2.8260869565217405E-2</v>
      </c>
      <c r="Q29" s="393">
        <f t="shared" si="7"/>
        <v>-2.8260869565217405E-2</v>
      </c>
      <c r="R29" s="393">
        <f t="shared" si="7"/>
        <v>-2.8260869565217405E-2</v>
      </c>
      <c r="S29" s="388">
        <f>AA21</f>
        <v>-2.1052631578947212E-3</v>
      </c>
      <c r="T29" s="232"/>
      <c r="U29" s="379" t="s">
        <v>311</v>
      </c>
      <c r="V29" s="379">
        <v>0.5</v>
      </c>
      <c r="W29" s="379">
        <v>0.8</v>
      </c>
      <c r="X29" s="378">
        <f t="shared" si="3"/>
        <v>0.60000000000000009</v>
      </c>
      <c r="Y29" s="382">
        <f t="shared" si="2"/>
        <v>6.0000000000000012E-2</v>
      </c>
      <c r="Z29" s="232"/>
      <c r="AA29" s="384">
        <f t="shared" si="5"/>
        <v>-6.0000000000000012E-2</v>
      </c>
      <c r="AB29" s="549"/>
      <c r="AC29" s="232"/>
      <c r="AD29" s="232"/>
      <c r="AE29" s="232"/>
      <c r="AF29" s="232"/>
    </row>
    <row r="30" spans="1:33" ht="15.75" customHeight="1" thickBot="1">
      <c r="A30" s="232"/>
      <c r="B30" s="552" t="s">
        <v>310</v>
      </c>
      <c r="C30" s="553"/>
      <c r="D30" s="387">
        <f>AA27</f>
        <v>-2.4444444444444446E-2</v>
      </c>
      <c r="E30" s="387">
        <f>AA28</f>
        <v>-2.297297297297296E-2</v>
      </c>
      <c r="F30" s="387">
        <f>AA25</f>
        <v>-1.684210526315788E-2</v>
      </c>
      <c r="G30" s="387">
        <f>AA24</f>
        <v>-8.48214285714286E-3</v>
      </c>
      <c r="H30" s="387">
        <f>AA24</f>
        <v>-8.48214285714286E-3</v>
      </c>
      <c r="I30" s="387">
        <f>AA24</f>
        <v>-8.48214285714286E-3</v>
      </c>
      <c r="J30" s="387">
        <f>AA24</f>
        <v>-8.48214285714286E-3</v>
      </c>
      <c r="K30" s="387">
        <f>AA23</f>
        <v>5.5045871559633031E-3</v>
      </c>
      <c r="L30" s="387">
        <f>AA23</f>
        <v>5.5045871559633031E-3</v>
      </c>
      <c r="M30" s="387">
        <v>-3.85E-2</v>
      </c>
      <c r="N30" s="387">
        <f>AA26</f>
        <v>-2.8260869565217405E-2</v>
      </c>
      <c r="O30" s="387">
        <f>AA26</f>
        <v>-2.8260869565217405E-2</v>
      </c>
      <c r="P30" s="387">
        <f>AA26</f>
        <v>-2.8260869565217405E-2</v>
      </c>
      <c r="Q30" s="387">
        <f>AA26</f>
        <v>-2.8260869565217405E-2</v>
      </c>
      <c r="R30" s="387">
        <f>AA26</f>
        <v>-2.8260869565217405E-2</v>
      </c>
      <c r="S30" s="386">
        <f>S22+S27+S29</f>
        <v>-2.1052631578947212E-3</v>
      </c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</row>
    <row r="31" spans="1:33" ht="15.75" customHeight="1">
      <c r="A31" s="232"/>
      <c r="B31" s="394"/>
      <c r="C31" s="394"/>
      <c r="D31" s="395"/>
      <c r="E31" s="395"/>
      <c r="F31" s="395"/>
      <c r="G31" s="395"/>
      <c r="H31" s="395"/>
      <c r="I31" s="395"/>
      <c r="J31" s="395"/>
      <c r="K31" s="395"/>
      <c r="L31" s="395"/>
      <c r="M31" s="395"/>
      <c r="N31" s="395"/>
      <c r="O31" s="395"/>
      <c r="P31" s="395"/>
      <c r="Q31" s="395"/>
      <c r="R31" s="395"/>
      <c r="S31" s="396"/>
      <c r="T31" s="232"/>
      <c r="U31" s="372" t="s">
        <v>322</v>
      </c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</row>
    <row r="32" spans="1:33" ht="15.75" thickBot="1">
      <c r="A32" s="232"/>
      <c r="B32" s="413" t="s">
        <v>321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</row>
    <row r="33" spans="1:34" ht="15" customHeight="1">
      <c r="A33" s="232"/>
      <c r="B33" s="531" t="s">
        <v>2</v>
      </c>
      <c r="C33" s="532"/>
      <c r="D33" s="535" t="s">
        <v>224</v>
      </c>
      <c r="E33" s="536"/>
      <c r="F33" s="536"/>
      <c r="G33" s="536"/>
      <c r="H33" s="536"/>
      <c r="I33" s="536"/>
      <c r="J33" s="536"/>
      <c r="K33" s="536"/>
      <c r="L33" s="536"/>
      <c r="M33" s="536"/>
      <c r="N33" s="536"/>
      <c r="O33" s="536"/>
      <c r="P33" s="536"/>
      <c r="Q33" s="536"/>
      <c r="R33" s="536"/>
      <c r="S33" s="537"/>
      <c r="T33" s="232"/>
      <c r="U33" s="397"/>
      <c r="V33" s="397"/>
      <c r="W33" s="397"/>
      <c r="X33" s="397"/>
      <c r="Y33" s="398"/>
      <c r="Z33" s="398"/>
      <c r="AA33" s="398"/>
      <c r="AB33" s="398"/>
      <c r="AC33" s="398"/>
      <c r="AD33" s="398"/>
      <c r="AE33" s="398"/>
      <c r="AF33" s="398"/>
      <c r="AG33" s="399"/>
      <c r="AH33" s="399"/>
    </row>
    <row r="34" spans="1:34" ht="14.25" customHeight="1">
      <c r="A34" s="232"/>
      <c r="B34" s="533"/>
      <c r="C34" s="534"/>
      <c r="D34" s="538" t="s">
        <v>77</v>
      </c>
      <c r="E34" s="538" t="s">
        <v>225</v>
      </c>
      <c r="F34" s="538" t="s">
        <v>226</v>
      </c>
      <c r="G34" s="538"/>
      <c r="H34" s="538"/>
      <c r="I34" s="538"/>
      <c r="J34" s="538"/>
      <c r="K34" s="538"/>
      <c r="L34" s="538"/>
      <c r="M34" s="538"/>
      <c r="N34" s="538" t="s">
        <v>227</v>
      </c>
      <c r="O34" s="538"/>
      <c r="P34" s="538"/>
      <c r="Q34" s="538"/>
      <c r="R34" s="538"/>
      <c r="S34" s="550" t="s">
        <v>228</v>
      </c>
      <c r="T34" s="232"/>
      <c r="U34" s="400"/>
      <c r="V34" s="397"/>
      <c r="W34" s="397"/>
      <c r="X34" s="397"/>
      <c r="Y34" s="398"/>
      <c r="Z34" s="398"/>
      <c r="AA34" s="398"/>
      <c r="AB34" s="398"/>
      <c r="AC34" s="398"/>
      <c r="AD34" s="398"/>
      <c r="AE34" s="398"/>
      <c r="AF34" s="398"/>
      <c r="AG34" s="399"/>
      <c r="AH34" s="399"/>
    </row>
    <row r="35" spans="1:34" ht="26.25" thickBot="1">
      <c r="A35" s="232"/>
      <c r="B35" s="533"/>
      <c r="C35" s="534"/>
      <c r="D35" s="539"/>
      <c r="E35" s="539"/>
      <c r="F35" s="260" t="s">
        <v>80</v>
      </c>
      <c r="G35" s="260" t="s">
        <v>229</v>
      </c>
      <c r="H35" s="260" t="s">
        <v>82</v>
      </c>
      <c r="I35" s="260" t="s">
        <v>84</v>
      </c>
      <c r="J35" s="260" t="s">
        <v>85</v>
      </c>
      <c r="K35" s="260" t="s">
        <v>230</v>
      </c>
      <c r="L35" s="260" t="s">
        <v>86</v>
      </c>
      <c r="M35" s="260" t="s">
        <v>231</v>
      </c>
      <c r="N35" s="260" t="s">
        <v>232</v>
      </c>
      <c r="O35" s="260" t="s">
        <v>233</v>
      </c>
      <c r="P35" s="260" t="s">
        <v>234</v>
      </c>
      <c r="Q35" s="260" t="s">
        <v>235</v>
      </c>
      <c r="R35" s="260" t="s">
        <v>236</v>
      </c>
      <c r="S35" s="551"/>
      <c r="T35" s="232"/>
      <c r="U35" s="397"/>
      <c r="V35" s="397"/>
      <c r="W35" s="397"/>
      <c r="X35" s="397"/>
      <c r="Y35" s="398"/>
      <c r="Z35" s="398"/>
      <c r="AA35" s="398"/>
      <c r="AB35" s="398"/>
      <c r="AC35" s="398"/>
      <c r="AD35" s="398"/>
      <c r="AE35" s="398"/>
      <c r="AF35" s="398"/>
      <c r="AG35" s="399"/>
      <c r="AH35" s="399"/>
    </row>
    <row r="36" spans="1:34" ht="15" customHeight="1">
      <c r="A36" s="232"/>
      <c r="B36" s="261" t="s">
        <v>237</v>
      </c>
      <c r="C36" s="262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63"/>
      <c r="S36" s="263"/>
      <c r="T36" s="232"/>
      <c r="U36" s="397"/>
      <c r="V36" s="397"/>
      <c r="W36" s="397"/>
      <c r="X36" s="397"/>
      <c r="Y36" s="398"/>
      <c r="Z36" s="398"/>
      <c r="AA36" s="398"/>
      <c r="AB36" s="398"/>
      <c r="AC36" s="398"/>
      <c r="AD36" s="398"/>
      <c r="AE36" s="398"/>
      <c r="AF36" s="398"/>
      <c r="AG36" s="399"/>
      <c r="AH36" s="399"/>
    </row>
    <row r="37" spans="1:34" ht="14.25" customHeight="1">
      <c r="A37" s="232"/>
      <c r="B37" s="265" t="s">
        <v>238</v>
      </c>
      <c r="C37" s="266"/>
      <c r="D37" s="403">
        <f>SUM_SEAP!D15*(1+BAU!D15)</f>
        <v>46447.17555555555</v>
      </c>
      <c r="E37" s="403">
        <f>SUM_SEAP!E15*(1+BAU!E15)</f>
        <v>169417.4635135135</v>
      </c>
      <c r="F37" s="403">
        <f>SUM_SEAP!F15*(1+BAU!F15)</f>
        <v>43170.463157894737</v>
      </c>
      <c r="G37" s="403">
        <f>SUM_SEAP!G15*(1+BAU!G15)</f>
        <v>0</v>
      </c>
      <c r="H37" s="403">
        <f>SUM_SEAP!H15*(1+BAU!H15)</f>
        <v>2303.3020442830352</v>
      </c>
      <c r="I37" s="403">
        <f>SUM_SEAP!I15*(1+BAU!I15)</f>
        <v>0</v>
      </c>
      <c r="J37" s="403">
        <f>SUM_SEAP!J15*(1+BAU!J15)</f>
        <v>0</v>
      </c>
      <c r="K37" s="403">
        <f>SUM_SEAP!K15*(1+BAU!K15)</f>
        <v>0</v>
      </c>
      <c r="L37" s="403">
        <f>SUM_SEAP!L15*(1+BAU!L15)</f>
        <v>0</v>
      </c>
      <c r="M37" s="403">
        <f>SUM_SEAP!M15*(1+BAU!M15)</f>
        <v>0</v>
      </c>
      <c r="N37" s="403">
        <f>SUM_SEAP!N15*(1+BAU!N15)</f>
        <v>0</v>
      </c>
      <c r="O37" s="403">
        <f>SUM_SEAP!O15*(1+BAU!O15)</f>
        <v>11326.450402173912</v>
      </c>
      <c r="P37" s="403">
        <f>SUM_SEAP!P15*(1+BAU!P15)</f>
        <v>0</v>
      </c>
      <c r="Q37" s="403">
        <f>SUM_SEAP!Q15*(1+BAU!Q15)</f>
        <v>0</v>
      </c>
      <c r="R37" s="403">
        <f>SUM_SEAP!R15*(1+BAU!R15)</f>
        <v>0</v>
      </c>
      <c r="S37" s="404">
        <f>SUM(D37:R37)</f>
        <v>272664.85467342078</v>
      </c>
      <c r="T37" s="232"/>
      <c r="U37" s="397"/>
      <c r="V37" s="397"/>
      <c r="W37" s="397"/>
      <c r="X37" s="397"/>
      <c r="Y37" s="398"/>
      <c r="Z37" s="398"/>
      <c r="AA37" s="398"/>
      <c r="AB37" s="398"/>
      <c r="AC37" s="398"/>
      <c r="AD37" s="398"/>
      <c r="AE37" s="398"/>
      <c r="AF37" s="398"/>
      <c r="AG37" s="399"/>
      <c r="AH37" s="399"/>
    </row>
    <row r="38" spans="1:34" ht="14.25" customHeight="1">
      <c r="A38" s="232"/>
      <c r="B38" s="269" t="s">
        <v>239</v>
      </c>
      <c r="C38" s="270"/>
      <c r="D38" s="403">
        <f>SUM_SEAP!D16*(1+BAU!D16)</f>
        <v>945574.78222222219</v>
      </c>
      <c r="E38" s="403">
        <f>SUM_SEAP!E16*(1+BAU!E16)</f>
        <v>685727.39594594599</v>
      </c>
      <c r="F38" s="403">
        <f>SUM_SEAP!F16*(1+BAU!F16)</f>
        <v>300430.63686420093</v>
      </c>
      <c r="G38" s="403">
        <f>SUM_SEAP!G16*(1+BAU!G16)</f>
        <v>1129.2629500788321</v>
      </c>
      <c r="H38" s="403">
        <f>SUM_SEAP!H16*(1+BAU!H16)</f>
        <v>13890.970586967434</v>
      </c>
      <c r="I38" s="403">
        <f>SUM_SEAP!I16*(1+BAU!I16)</f>
        <v>0</v>
      </c>
      <c r="J38" s="403">
        <f>SUM_SEAP!J16*(1+BAU!J16)</f>
        <v>0</v>
      </c>
      <c r="K38" s="403">
        <f>SUM_SEAP!K16*(1+BAU!K16)</f>
        <v>0</v>
      </c>
      <c r="L38" s="403">
        <f>SUM_SEAP!L16*(1+BAU!L16)</f>
        <v>0</v>
      </c>
      <c r="M38" s="403">
        <f>SUM_SEAP!M16*(1+BAU!M16)</f>
        <v>4143.9060640499993</v>
      </c>
      <c r="N38" s="403">
        <f>SUM_SEAP!N16*(1+BAU!N16)</f>
        <v>0</v>
      </c>
      <c r="O38" s="403">
        <f>SUM_SEAP!O16*(1+BAU!O16)</f>
        <v>0</v>
      </c>
      <c r="P38" s="403">
        <f>SUM_SEAP!P16*(1+BAU!P16)</f>
        <v>0</v>
      </c>
      <c r="Q38" s="403">
        <f>SUM_SEAP!Q16*(1+BAU!Q16)</f>
        <v>0</v>
      </c>
      <c r="R38" s="403">
        <f>SUM_SEAP!R16*(1+BAU!R16)</f>
        <v>0</v>
      </c>
      <c r="S38" s="404">
        <f t="shared" ref="S38:S43" si="8">SUM(D38:R38)</f>
        <v>1950896.9546334655</v>
      </c>
      <c r="T38" s="232"/>
      <c r="U38" s="376"/>
      <c r="V38" s="377"/>
      <c r="W38" s="377"/>
      <c r="X38" s="377"/>
      <c r="Y38" s="397"/>
      <c r="Z38" s="398"/>
      <c r="AA38" s="398"/>
      <c r="AB38" s="398"/>
      <c r="AC38" s="398"/>
      <c r="AD38" s="398"/>
      <c r="AE38" s="398"/>
      <c r="AF38" s="398"/>
      <c r="AG38" s="399"/>
      <c r="AH38" s="399"/>
    </row>
    <row r="39" spans="1:34" ht="15" customHeight="1">
      <c r="A39" s="232"/>
      <c r="B39" s="269" t="s">
        <v>0</v>
      </c>
      <c r="C39" s="270"/>
      <c r="D39" s="403">
        <f>SUM_SEAP!D17*(1+BAU!D17)</f>
        <v>699527.9644444444</v>
      </c>
      <c r="E39" s="403">
        <f>SUM_SEAP!E17*(1+BAU!E17)</f>
        <v>1501988.5337837839</v>
      </c>
      <c r="F39" s="403">
        <f>SUM_SEAP!F17*(1+BAU!F17)</f>
        <v>1206663.1115789474</v>
      </c>
      <c r="G39" s="403">
        <f>SUM_SEAP!G17*(1+BAU!G17)</f>
        <v>14088.249183035716</v>
      </c>
      <c r="H39" s="403">
        <f>SUM_SEAP!H17*(1+BAU!H17)</f>
        <v>1980.0611607142857</v>
      </c>
      <c r="I39" s="403">
        <f>SUM_SEAP!I17*(1+BAU!I17)</f>
        <v>0</v>
      </c>
      <c r="J39" s="403">
        <f>SUM_SEAP!J17*(1+BAU!J17)</f>
        <v>0</v>
      </c>
      <c r="K39" s="403">
        <f>SUM_SEAP!K17*(1+BAU!K17)</f>
        <v>0</v>
      </c>
      <c r="L39" s="403">
        <f>SUM_SEAP!L17*(1+BAU!L17)</f>
        <v>357657.98165137618</v>
      </c>
      <c r="M39" s="403">
        <f>SUM_SEAP!M17*(1+BAU!M17)</f>
        <v>0</v>
      </c>
      <c r="N39" s="403">
        <f>SUM_SEAP!N17*(1+BAU!N17)</f>
        <v>0</v>
      </c>
      <c r="O39" s="403">
        <f>SUM_SEAP!O17*(1+BAU!O17)</f>
        <v>0</v>
      </c>
      <c r="P39" s="403">
        <f>SUM_SEAP!P17*(1+BAU!P17)</f>
        <v>206274.55199169382</v>
      </c>
      <c r="Q39" s="403">
        <f>SUM_SEAP!Q17*(1+BAU!Q17)</f>
        <v>6167.2590000000009</v>
      </c>
      <c r="R39" s="403">
        <f>SUM_SEAP!R17*(1+BAU!R17)</f>
        <v>0</v>
      </c>
      <c r="S39" s="404">
        <f t="shared" si="8"/>
        <v>3994347.7127939956</v>
      </c>
      <c r="T39" s="232"/>
      <c r="U39" s="376"/>
      <c r="V39" s="376"/>
      <c r="W39" s="376"/>
      <c r="X39" s="376"/>
      <c r="Y39" s="401"/>
      <c r="Z39" s="398"/>
      <c r="AA39" s="402"/>
      <c r="AB39" s="398"/>
      <c r="AC39" s="398"/>
      <c r="AD39" s="398"/>
      <c r="AE39" s="398"/>
      <c r="AF39" s="398"/>
      <c r="AG39" s="399"/>
      <c r="AH39" s="399"/>
    </row>
    <row r="40" spans="1:34" ht="15" customHeight="1">
      <c r="A40" s="232"/>
      <c r="B40" s="269" t="s">
        <v>42</v>
      </c>
      <c r="C40" s="270"/>
      <c r="D40" s="403">
        <f>SUM_SEAP!D18*(1+BAU!D18)</f>
        <v>24689.360000000001</v>
      </c>
      <c r="E40" s="403">
        <f>SUM_SEAP!E18*(1+BAU!E18)</f>
        <v>0</v>
      </c>
      <c r="F40" s="403">
        <f>SUM_SEAP!F18*(1+BAU!F18)</f>
        <v>493.54526315789474</v>
      </c>
      <c r="G40" s="403">
        <f>SUM_SEAP!G18*(1+BAU!G18)</f>
        <v>0</v>
      </c>
      <c r="H40" s="403">
        <f>SUM_SEAP!H18*(1+BAU!H18)</f>
        <v>0</v>
      </c>
      <c r="I40" s="403">
        <f>SUM_SEAP!I18*(1+BAU!I18)</f>
        <v>0</v>
      </c>
      <c r="J40" s="403">
        <f>SUM_SEAP!J18*(1+BAU!J18)</f>
        <v>0</v>
      </c>
      <c r="K40" s="403">
        <f>SUM_SEAP!K18*(1+BAU!K18)</f>
        <v>0</v>
      </c>
      <c r="L40" s="403">
        <f>SUM_SEAP!L18*(1+BAU!L18)</f>
        <v>0</v>
      </c>
      <c r="M40" s="403">
        <f>SUM_SEAP!M18*(1+BAU!M18)</f>
        <v>0</v>
      </c>
      <c r="N40" s="403">
        <f>SUM_SEAP!N18*(1+BAU!N18)</f>
        <v>0</v>
      </c>
      <c r="O40" s="403">
        <f>SUM_SEAP!O18*(1+BAU!O18)</f>
        <v>0</v>
      </c>
      <c r="P40" s="403">
        <f>SUM_SEAP!P18*(1+BAU!P18)</f>
        <v>0</v>
      </c>
      <c r="Q40" s="403">
        <f>SUM_SEAP!Q18*(1+BAU!Q18)</f>
        <v>0</v>
      </c>
      <c r="R40" s="403">
        <f>SUM_SEAP!R18*(1+BAU!R18)</f>
        <v>0</v>
      </c>
      <c r="S40" s="404">
        <f t="shared" si="8"/>
        <v>25182.905263157896</v>
      </c>
      <c r="T40" s="232"/>
      <c r="U40" s="377"/>
      <c r="V40" s="377"/>
      <c r="W40" s="377"/>
      <c r="X40" s="378"/>
      <c r="Y40" s="378"/>
      <c r="Z40" s="398"/>
      <c r="AA40" s="375"/>
      <c r="AB40" s="540"/>
      <c r="AC40" s="398"/>
      <c r="AD40" s="398"/>
      <c r="AE40" s="398"/>
      <c r="AF40" s="398"/>
      <c r="AG40" s="399"/>
      <c r="AH40" s="399"/>
    </row>
    <row r="41" spans="1:34" ht="15" customHeight="1">
      <c r="A41" s="232"/>
      <c r="B41" s="541" t="s">
        <v>11</v>
      </c>
      <c r="C41" s="350" t="s">
        <v>240</v>
      </c>
      <c r="D41" s="405"/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232"/>
      <c r="U41" s="377"/>
      <c r="V41" s="377"/>
      <c r="W41" s="377"/>
      <c r="X41" s="378"/>
      <c r="Y41" s="378"/>
      <c r="Z41" s="398"/>
      <c r="AA41" s="375"/>
      <c r="AB41" s="540"/>
      <c r="AC41" s="398"/>
      <c r="AD41" s="398"/>
      <c r="AE41" s="398"/>
      <c r="AF41" s="398"/>
      <c r="AG41" s="399"/>
      <c r="AH41" s="399"/>
    </row>
    <row r="42" spans="1:34" ht="18.75" customHeight="1">
      <c r="A42" s="232"/>
      <c r="B42" s="542"/>
      <c r="C42" s="351" t="s">
        <v>241</v>
      </c>
      <c r="D42" s="405"/>
      <c r="E42" s="405"/>
      <c r="F42" s="405"/>
      <c r="G42" s="405"/>
      <c r="H42" s="405"/>
      <c r="I42" s="405"/>
      <c r="J42" s="405"/>
      <c r="K42" s="405"/>
      <c r="L42" s="405"/>
      <c r="M42" s="405"/>
      <c r="N42" s="405"/>
      <c r="O42" s="405"/>
      <c r="P42" s="405"/>
      <c r="Q42" s="405"/>
      <c r="R42" s="405"/>
      <c r="S42" s="405"/>
      <c r="T42" s="232"/>
      <c r="U42" s="377"/>
      <c r="V42" s="377"/>
      <c r="W42" s="377"/>
      <c r="X42" s="378"/>
      <c r="Y42" s="378"/>
      <c r="Z42" s="398"/>
      <c r="AA42" s="375"/>
      <c r="AB42" s="540"/>
      <c r="AC42" s="398"/>
      <c r="AD42" s="398"/>
      <c r="AE42" s="398"/>
      <c r="AF42" s="398"/>
      <c r="AG42" s="399"/>
      <c r="AH42" s="399"/>
    </row>
    <row r="43" spans="1:34" ht="18.75" customHeight="1">
      <c r="A43" s="232"/>
      <c r="B43" s="543"/>
      <c r="C43" s="272" t="s">
        <v>228</v>
      </c>
      <c r="D43" s="403">
        <f>SUM_SEAP!D21*(1+BAU!D21)</f>
        <v>659952.60222222214</v>
      </c>
      <c r="E43" s="403">
        <f>SUM_SEAP!E21*(1+BAU!E21)</f>
        <v>72101.33783783784</v>
      </c>
      <c r="F43" s="403">
        <f>SUM_SEAP!F21*(1+BAU!F21)</f>
        <v>305601.8505263158</v>
      </c>
      <c r="G43" s="403">
        <f>SUM_SEAP!G21*(1+BAU!G21)</f>
        <v>13.88125</v>
      </c>
      <c r="H43" s="403">
        <f>SUM_SEAP!H21*(1+BAU!H21)</f>
        <v>8370.3937499999993</v>
      </c>
      <c r="I43" s="403">
        <f>SUM_SEAP!I21*(1+BAU!I21)</f>
        <v>0</v>
      </c>
      <c r="J43" s="403">
        <f>SUM_SEAP!J21*(1+BAU!J21)</f>
        <v>0</v>
      </c>
      <c r="K43" s="403">
        <f>SUM_SEAP!K21*(1+BAU!K21)</f>
        <v>0</v>
      </c>
      <c r="L43" s="403">
        <f>SUM_SEAP!L21*(1+BAU!L21)</f>
        <v>0</v>
      </c>
      <c r="M43" s="403">
        <f>SUM_SEAP!M21*(1+BAU!M21)</f>
        <v>96589.405500000008</v>
      </c>
      <c r="N43" s="403">
        <f>SUM_SEAP!N21*(1+BAU!N21)</f>
        <v>0</v>
      </c>
      <c r="O43" s="403">
        <f>SUM_SEAP!O21*(1+BAU!O21)</f>
        <v>0</v>
      </c>
      <c r="P43" s="403">
        <f>SUM_SEAP!P21*(1+BAU!P21)</f>
        <v>0</v>
      </c>
      <c r="Q43" s="403">
        <f>SUM_SEAP!Q21*(1+BAU!Q21)</f>
        <v>0</v>
      </c>
      <c r="R43" s="403">
        <f>SUM_SEAP!R21*(1+BAU!R21)</f>
        <v>0</v>
      </c>
      <c r="S43" s="406">
        <f t="shared" si="8"/>
        <v>1142629.4710863759</v>
      </c>
      <c r="T43" s="232"/>
      <c r="U43" s="377"/>
      <c r="V43" s="377"/>
      <c r="W43" s="377"/>
      <c r="X43" s="378"/>
      <c r="Y43" s="378"/>
      <c r="Z43" s="398"/>
      <c r="AA43" s="375"/>
      <c r="AB43" s="540"/>
      <c r="AC43" s="398"/>
      <c r="AD43" s="398"/>
      <c r="AE43" s="398"/>
      <c r="AF43" s="398"/>
      <c r="AG43" s="399"/>
      <c r="AH43" s="399"/>
    </row>
    <row r="44" spans="1:34" ht="15" customHeight="1" thickBot="1">
      <c r="A44" s="232"/>
      <c r="B44" s="275" t="s">
        <v>242</v>
      </c>
      <c r="C44" s="276"/>
      <c r="D44" s="407">
        <f>SUM(D37:D40,D43)</f>
        <v>2376191.8844444444</v>
      </c>
      <c r="E44" s="407">
        <f t="shared" ref="E44:R44" si="9">SUM(E37:E40,E43)</f>
        <v>2429234.7310810811</v>
      </c>
      <c r="F44" s="407">
        <f t="shared" si="9"/>
        <v>1856359.6073905169</v>
      </c>
      <c r="G44" s="407">
        <f t="shared" si="9"/>
        <v>15231.393383114548</v>
      </c>
      <c r="H44" s="407">
        <f t="shared" si="9"/>
        <v>26544.727541964756</v>
      </c>
      <c r="I44" s="407">
        <f t="shared" si="9"/>
        <v>0</v>
      </c>
      <c r="J44" s="407">
        <f t="shared" si="9"/>
        <v>0</v>
      </c>
      <c r="K44" s="407">
        <f t="shared" si="9"/>
        <v>0</v>
      </c>
      <c r="L44" s="407">
        <f t="shared" si="9"/>
        <v>357657.98165137618</v>
      </c>
      <c r="M44" s="407">
        <f t="shared" si="9"/>
        <v>100733.31156405</v>
      </c>
      <c r="N44" s="407">
        <f t="shared" si="9"/>
        <v>0</v>
      </c>
      <c r="O44" s="407">
        <f t="shared" si="9"/>
        <v>11326.450402173912</v>
      </c>
      <c r="P44" s="407">
        <f t="shared" si="9"/>
        <v>206274.55199169382</v>
      </c>
      <c r="Q44" s="407">
        <f t="shared" si="9"/>
        <v>6167.2590000000009</v>
      </c>
      <c r="R44" s="407">
        <f t="shared" si="9"/>
        <v>0</v>
      </c>
      <c r="S44" s="408">
        <f>SUM(S37:S43)</f>
        <v>7385721.8984504156</v>
      </c>
      <c r="T44" s="232"/>
      <c r="U44" s="376"/>
      <c r="V44" s="376"/>
      <c r="W44" s="376"/>
      <c r="X44" s="381"/>
      <c r="Y44" s="401"/>
      <c r="Z44" s="398"/>
      <c r="AA44" s="375"/>
      <c r="AB44" s="540"/>
      <c r="AC44" s="398"/>
      <c r="AD44" s="398"/>
      <c r="AE44" s="398"/>
      <c r="AF44" s="398"/>
      <c r="AG44" s="399"/>
      <c r="AH44" s="399"/>
    </row>
    <row r="45" spans="1:34" ht="15" customHeight="1">
      <c r="A45" s="232"/>
      <c r="B45" s="279" t="s">
        <v>243</v>
      </c>
      <c r="C45" s="280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  <c r="P45" s="409"/>
      <c r="Q45" s="409"/>
      <c r="R45" s="409"/>
      <c r="S45" s="410"/>
      <c r="T45" s="232"/>
      <c r="U45" s="377"/>
      <c r="V45" s="377"/>
      <c r="W45" s="377"/>
      <c r="X45" s="378"/>
      <c r="Y45" s="378"/>
      <c r="Z45" s="398"/>
      <c r="AA45" s="375"/>
      <c r="AB45" s="540"/>
      <c r="AC45" s="398"/>
      <c r="AD45" s="398"/>
      <c r="AE45" s="398"/>
      <c r="AF45" s="398"/>
      <c r="AG45" s="399"/>
      <c r="AH45" s="399"/>
    </row>
    <row r="46" spans="1:34" ht="15" customHeight="1">
      <c r="A46" s="232"/>
      <c r="B46" s="269" t="s">
        <v>244</v>
      </c>
      <c r="C46" s="283"/>
      <c r="D46" s="403">
        <f>SUM_SEAP!D24*(1+BAU!D24)</f>
        <v>0</v>
      </c>
      <c r="E46" s="403">
        <f>SUM_SEAP!E24*(1+BAU!E24)</f>
        <v>0</v>
      </c>
      <c r="F46" s="403">
        <f>SUM_SEAP!F24*(1+BAU!F24)</f>
        <v>0</v>
      </c>
      <c r="G46" s="403">
        <f>SUM_SEAP!G24*(1+BAU!G24)</f>
        <v>15.310611979799109</v>
      </c>
      <c r="H46" s="403">
        <f>SUM_SEAP!H24*(1+BAU!H24)</f>
        <v>0</v>
      </c>
      <c r="I46" s="403">
        <f>SUM_SEAP!I24*(1+BAU!I24)</f>
        <v>23050.345580084992</v>
      </c>
      <c r="J46" s="403">
        <f>SUM_SEAP!J24*(1+BAU!J24)</f>
        <v>831.73673749999989</v>
      </c>
      <c r="K46" s="403">
        <f>SUM_SEAP!K24*(1+BAU!K24)</f>
        <v>0</v>
      </c>
      <c r="L46" s="403">
        <f>SUM_SEAP!L24*(1+BAU!L24)</f>
        <v>0</v>
      </c>
      <c r="M46" s="403">
        <f>SUM_SEAP!M24*(1+BAU!M24)</f>
        <v>0</v>
      </c>
      <c r="N46" s="403">
        <f>SUM_SEAP!N24*(1+BAU!N24)</f>
        <v>0</v>
      </c>
      <c r="O46" s="403">
        <f>SUM_SEAP!O24*(1+BAU!O24)</f>
        <v>0</v>
      </c>
      <c r="P46" s="403">
        <f>SUM_SEAP!P24*(1+BAU!P24)</f>
        <v>0</v>
      </c>
      <c r="Q46" s="403">
        <f>SUM_SEAP!Q24*(1+BAU!Q24)</f>
        <v>0</v>
      </c>
      <c r="R46" s="403">
        <f>SUM_SEAP!R24*(1+BAU!R24)</f>
        <v>0</v>
      </c>
      <c r="S46" s="406">
        <f>SUM(D46:R46)</f>
        <v>23897.39292956479</v>
      </c>
      <c r="T46" s="232"/>
      <c r="U46" s="377"/>
      <c r="V46" s="377"/>
      <c r="W46" s="377"/>
      <c r="X46" s="378"/>
      <c r="Y46" s="378"/>
      <c r="Z46" s="398"/>
      <c r="AA46" s="375"/>
      <c r="AB46" s="540"/>
      <c r="AC46" s="398"/>
      <c r="AD46" s="398"/>
      <c r="AE46" s="398"/>
      <c r="AF46" s="398"/>
      <c r="AG46" s="399"/>
      <c r="AH46" s="399"/>
    </row>
    <row r="47" spans="1:34" ht="15" customHeight="1">
      <c r="A47" s="232"/>
      <c r="B47" s="269" t="s">
        <v>245</v>
      </c>
      <c r="C47" s="283"/>
      <c r="D47" s="403">
        <f>SUM_SEAP!D25*(1+BAU!D25)</f>
        <v>62253.126666666663</v>
      </c>
      <c r="E47" s="403">
        <f>SUM_SEAP!E25*(1+BAU!E25)</f>
        <v>0</v>
      </c>
      <c r="F47" s="403">
        <f>SUM_SEAP!F25*(1+BAU!F25)</f>
        <v>0</v>
      </c>
      <c r="G47" s="403">
        <f>SUM_SEAP!G25*(1+BAU!G25)</f>
        <v>0</v>
      </c>
      <c r="H47" s="403">
        <f>SUM_SEAP!H25*(1+BAU!H25)</f>
        <v>0</v>
      </c>
      <c r="I47" s="403">
        <f>SUM_SEAP!I25*(1+BAU!I25)</f>
        <v>93413.871874999997</v>
      </c>
      <c r="J47" s="403">
        <f>SUM_SEAP!J25*(1+BAU!J25)</f>
        <v>0</v>
      </c>
      <c r="K47" s="403">
        <f>SUM_SEAP!K25*(1+BAU!K25)</f>
        <v>0</v>
      </c>
      <c r="L47" s="403">
        <f>SUM_SEAP!L25*(1+BAU!L25)</f>
        <v>0</v>
      </c>
      <c r="M47" s="403">
        <f>SUM_SEAP!M25*(1+BAU!M25)</f>
        <v>0</v>
      </c>
      <c r="N47" s="403">
        <f>SUM_SEAP!N25*(1+BAU!N25)</f>
        <v>0</v>
      </c>
      <c r="O47" s="403">
        <f>SUM_SEAP!O25*(1+BAU!O25)</f>
        <v>0</v>
      </c>
      <c r="P47" s="403">
        <f>SUM_SEAP!P25*(1+BAU!P25)</f>
        <v>0</v>
      </c>
      <c r="Q47" s="403">
        <f>SUM_SEAP!Q25*(1+BAU!Q25)</f>
        <v>0</v>
      </c>
      <c r="R47" s="403">
        <f>SUM_SEAP!R25*(1+BAU!R25)</f>
        <v>0</v>
      </c>
      <c r="S47" s="406">
        <f>SUM(D47:R47)</f>
        <v>155666.99854166666</v>
      </c>
      <c r="T47" s="232"/>
      <c r="U47" s="377"/>
      <c r="V47" s="377"/>
      <c r="W47" s="377"/>
      <c r="X47" s="378"/>
      <c r="Y47" s="378"/>
      <c r="Z47" s="398"/>
      <c r="AA47" s="375"/>
      <c r="AB47" s="540"/>
      <c r="AC47" s="398"/>
      <c r="AD47" s="398"/>
      <c r="AE47" s="398"/>
      <c r="AF47" s="398"/>
      <c r="AG47" s="399"/>
      <c r="AH47" s="399"/>
    </row>
    <row r="48" spans="1:34" ht="15" customHeight="1">
      <c r="A48" s="232"/>
      <c r="B48" s="269" t="s">
        <v>246</v>
      </c>
      <c r="C48" s="283"/>
      <c r="D48" s="403">
        <f>SUM_SEAP!D26*(1+BAU!D26)</f>
        <v>23317.728888888887</v>
      </c>
      <c r="E48" s="403">
        <f>SUM_SEAP!E26*(1+BAU!E26)</f>
        <v>0</v>
      </c>
      <c r="F48" s="403">
        <f>SUM_SEAP!F26*(1+BAU!F26)</f>
        <v>2580.7894736842104</v>
      </c>
      <c r="G48" s="403">
        <f>SUM_SEAP!G26*(1+BAU!G26)</f>
        <v>248432.73124999998</v>
      </c>
      <c r="H48" s="403">
        <f>SUM_SEAP!H26*(1+BAU!H26)</f>
        <v>0</v>
      </c>
      <c r="I48" s="403">
        <f>SUM_SEAP!I26*(1+BAU!I26)</f>
        <v>2044256.984375</v>
      </c>
      <c r="J48" s="403">
        <f>SUM_SEAP!J26*(1+BAU!J26)</f>
        <v>2433040.0598214287</v>
      </c>
      <c r="K48" s="403">
        <f>SUM_SEAP!K26*(1+BAU!K26)</f>
        <v>0</v>
      </c>
      <c r="L48" s="403">
        <f>SUM_SEAP!L26*(1+BAU!L26)</f>
        <v>0</v>
      </c>
      <c r="M48" s="403">
        <f>SUM_SEAP!M26*(1+BAU!M26)</f>
        <v>0</v>
      </c>
      <c r="N48" s="403">
        <f>SUM_SEAP!N26*(1+BAU!N26)</f>
        <v>0</v>
      </c>
      <c r="O48" s="403">
        <f>SUM_SEAP!O26*(1+BAU!O26)</f>
        <v>30.337921178055648</v>
      </c>
      <c r="P48" s="403">
        <f>SUM_SEAP!P26*(1+BAU!P26)</f>
        <v>0</v>
      </c>
      <c r="Q48" s="403">
        <f>SUM_SEAP!Q26*(1+BAU!Q26)</f>
        <v>0</v>
      </c>
      <c r="R48" s="403">
        <f>SUM_SEAP!R26*(1+BAU!R26)</f>
        <v>0</v>
      </c>
      <c r="S48" s="406">
        <f>SUM(D48:R48)</f>
        <v>4751658.6317301802</v>
      </c>
      <c r="T48" s="232"/>
      <c r="U48" s="377"/>
      <c r="V48" s="377"/>
      <c r="W48" s="377"/>
      <c r="X48" s="378"/>
      <c r="Y48" s="378"/>
      <c r="Z48" s="398"/>
      <c r="AA48" s="375"/>
      <c r="AB48" s="540"/>
      <c r="AC48" s="398"/>
      <c r="AD48" s="398"/>
      <c r="AE48" s="398"/>
      <c r="AF48" s="398"/>
      <c r="AG48" s="399"/>
      <c r="AH48" s="399"/>
    </row>
    <row r="49" spans="1:34" ht="15" customHeight="1" thickBot="1">
      <c r="A49" s="232"/>
      <c r="B49" s="544" t="s">
        <v>247</v>
      </c>
      <c r="C49" s="545"/>
      <c r="D49" s="407">
        <f>SUM(D46:D48)</f>
        <v>85570.85555555555</v>
      </c>
      <c r="E49" s="407">
        <f t="shared" ref="E49:R49" si="10">SUM(E46:E48)</f>
        <v>0</v>
      </c>
      <c r="F49" s="407">
        <f t="shared" si="10"/>
        <v>2580.7894736842104</v>
      </c>
      <c r="G49" s="407">
        <f t="shared" si="10"/>
        <v>248448.04186197979</v>
      </c>
      <c r="H49" s="407">
        <f t="shared" si="10"/>
        <v>0</v>
      </c>
      <c r="I49" s="407">
        <f t="shared" si="10"/>
        <v>2160721.2018300849</v>
      </c>
      <c r="J49" s="407">
        <f t="shared" si="10"/>
        <v>2433871.7965589287</v>
      </c>
      <c r="K49" s="407">
        <f t="shared" si="10"/>
        <v>0</v>
      </c>
      <c r="L49" s="407">
        <f t="shared" si="10"/>
        <v>0</v>
      </c>
      <c r="M49" s="407">
        <f t="shared" si="10"/>
        <v>0</v>
      </c>
      <c r="N49" s="407">
        <f t="shared" si="10"/>
        <v>0</v>
      </c>
      <c r="O49" s="407">
        <f t="shared" si="10"/>
        <v>30.337921178055648</v>
      </c>
      <c r="P49" s="407">
        <f t="shared" si="10"/>
        <v>0</v>
      </c>
      <c r="Q49" s="407">
        <f t="shared" si="10"/>
        <v>0</v>
      </c>
      <c r="R49" s="407">
        <f t="shared" si="10"/>
        <v>0</v>
      </c>
      <c r="S49" s="408">
        <f>SUM(S46:S48)</f>
        <v>4931223.0232014116</v>
      </c>
      <c r="T49" s="232"/>
      <c r="U49" s="377"/>
      <c r="V49" s="377"/>
      <c r="W49" s="377"/>
      <c r="X49" s="378"/>
      <c r="Y49" s="378"/>
      <c r="Z49" s="398"/>
      <c r="AA49" s="375"/>
      <c r="AB49" s="540"/>
      <c r="AC49" s="398"/>
      <c r="AD49" s="398"/>
      <c r="AE49" s="398"/>
      <c r="AF49" s="398"/>
      <c r="AG49" s="399"/>
      <c r="AH49" s="399"/>
    </row>
    <row r="50" spans="1:34">
      <c r="A50" s="232"/>
      <c r="B50" s="284" t="s">
        <v>248</v>
      </c>
      <c r="C50" s="280"/>
      <c r="D50" s="409"/>
      <c r="E50" s="409"/>
      <c r="F50" s="409"/>
      <c r="G50" s="409"/>
      <c r="H50" s="409"/>
      <c r="I50" s="409"/>
      <c r="J50" s="409"/>
      <c r="K50" s="409"/>
      <c r="L50" s="409"/>
      <c r="M50" s="409"/>
      <c r="N50" s="409"/>
      <c r="O50" s="409"/>
      <c r="P50" s="409"/>
      <c r="Q50" s="409"/>
      <c r="R50" s="409"/>
      <c r="S50" s="411"/>
      <c r="T50" s="232"/>
      <c r="U50" s="377"/>
      <c r="V50" s="377"/>
      <c r="W50" s="377"/>
      <c r="X50" s="378"/>
      <c r="Y50" s="378"/>
      <c r="Z50" s="398"/>
      <c r="AA50" s="375"/>
      <c r="AB50" s="540"/>
      <c r="AC50" s="398"/>
      <c r="AD50" s="398"/>
      <c r="AE50" s="398"/>
      <c r="AF50" s="398"/>
      <c r="AG50" s="399"/>
      <c r="AH50" s="399"/>
    </row>
    <row r="51" spans="1:34" ht="15" customHeight="1">
      <c r="A51" s="232"/>
      <c r="B51" s="269" t="s">
        <v>249</v>
      </c>
      <c r="C51" s="283"/>
      <c r="D51" s="403">
        <f>SUM_SEAP!D29*(1+BAU!D29)</f>
        <v>0</v>
      </c>
      <c r="E51" s="403">
        <f>SUM_SEAP!E29*(1+BAU!E29)</f>
        <v>0</v>
      </c>
      <c r="F51" s="403">
        <f>SUM_SEAP!F29*(1+BAU!F29)</f>
        <v>4491.2389543859645</v>
      </c>
      <c r="G51" s="403">
        <f>SUM_SEAP!G29*(1+BAU!G29)</f>
        <v>0</v>
      </c>
      <c r="H51" s="403">
        <f>SUM_SEAP!H29*(1+BAU!H29)</f>
        <v>0</v>
      </c>
      <c r="I51" s="403">
        <f>SUM_SEAP!I29*(1+BAU!I29)</f>
        <v>8930.6013392857149</v>
      </c>
      <c r="J51" s="403">
        <f>SUM_SEAP!J29*(1+BAU!J29)</f>
        <v>0</v>
      </c>
      <c r="K51" s="403">
        <f>SUM_SEAP!K29*(1+BAU!K29)</f>
        <v>0</v>
      </c>
      <c r="L51" s="403">
        <f>SUM_SEAP!L29*(1+BAU!L29)</f>
        <v>0</v>
      </c>
      <c r="M51" s="403">
        <f>SUM_SEAP!M29*(1+BAU!M29)</f>
        <v>0</v>
      </c>
      <c r="N51" s="403">
        <f>SUM_SEAP!N29*(1+BAU!N29)</f>
        <v>0</v>
      </c>
      <c r="O51" s="403">
        <f>SUM_SEAP!O29*(1+BAU!O29)</f>
        <v>0</v>
      </c>
      <c r="P51" s="403">
        <f>SUM_SEAP!P29*(1+BAU!P29)</f>
        <v>0</v>
      </c>
      <c r="Q51" s="403">
        <f>SUM_SEAP!Q29*(1+BAU!Q29)</f>
        <v>0</v>
      </c>
      <c r="R51" s="403">
        <f>SUM_SEAP!R29*(1+BAU!R29)</f>
        <v>0</v>
      </c>
      <c r="S51" s="406">
        <f>SUM(D51:R51)</f>
        <v>13421.840293671679</v>
      </c>
      <c r="T51" s="232"/>
      <c r="U51" s="377"/>
      <c r="V51" s="377"/>
      <c r="W51" s="377"/>
      <c r="X51" s="378"/>
      <c r="Y51" s="378"/>
      <c r="Z51" s="398"/>
      <c r="AA51" s="375"/>
      <c r="AB51" s="540"/>
      <c r="AC51" s="398"/>
      <c r="AD51" s="398"/>
      <c r="AE51" s="398"/>
      <c r="AF51" s="398"/>
      <c r="AG51" s="399"/>
      <c r="AH51" s="399"/>
    </row>
    <row r="52" spans="1:34" ht="15.75" customHeight="1" thickBot="1">
      <c r="A52" s="232"/>
      <c r="B52" s="546" t="s">
        <v>250</v>
      </c>
      <c r="C52" s="547"/>
      <c r="D52" s="412">
        <f>D44+D49+D51</f>
        <v>2461762.7400000002</v>
      </c>
      <c r="E52" s="412">
        <f t="shared" ref="E52:R52" si="11">E44+E49+E51</f>
        <v>2429234.7310810811</v>
      </c>
      <c r="F52" s="412">
        <f t="shared" si="11"/>
        <v>1863431.6358185872</v>
      </c>
      <c r="G52" s="412">
        <f t="shared" si="11"/>
        <v>263679.43524509436</v>
      </c>
      <c r="H52" s="412">
        <f t="shared" si="11"/>
        <v>26544.727541964756</v>
      </c>
      <c r="I52" s="412">
        <f t="shared" si="11"/>
        <v>2169651.8031693706</v>
      </c>
      <c r="J52" s="412">
        <f t="shared" si="11"/>
        <v>2433871.7965589287</v>
      </c>
      <c r="K52" s="412">
        <f t="shared" si="11"/>
        <v>0</v>
      </c>
      <c r="L52" s="412">
        <f t="shared" si="11"/>
        <v>357657.98165137618</v>
      </c>
      <c r="M52" s="412">
        <f t="shared" si="11"/>
        <v>100733.31156405</v>
      </c>
      <c r="N52" s="412">
        <f t="shared" si="11"/>
        <v>0</v>
      </c>
      <c r="O52" s="412">
        <f t="shared" si="11"/>
        <v>11356.788323351968</v>
      </c>
      <c r="P52" s="412">
        <f t="shared" si="11"/>
        <v>206274.55199169382</v>
      </c>
      <c r="Q52" s="412">
        <f t="shared" si="11"/>
        <v>6167.2590000000009</v>
      </c>
      <c r="R52" s="412">
        <f t="shared" si="11"/>
        <v>0</v>
      </c>
      <c r="S52" s="412">
        <f>S44+S49+S51</f>
        <v>12330366.761945499</v>
      </c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</row>
    <row r="53" spans="1:34">
      <c r="A53" s="232"/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</row>
    <row r="54" spans="1:34" ht="16.5" customHeight="1">
      <c r="A54" s="232"/>
      <c r="B54" s="255"/>
      <c r="C54" s="255"/>
      <c r="D54" s="256"/>
      <c r="E54" s="256"/>
      <c r="F54" s="256"/>
      <c r="G54" s="256"/>
      <c r="H54" s="237"/>
      <c r="I54" s="237"/>
      <c r="J54" s="244"/>
      <c r="K54" s="244"/>
      <c r="L54" s="237"/>
      <c r="M54" s="237"/>
      <c r="N54" s="237"/>
      <c r="O54" s="237"/>
      <c r="P54" s="237"/>
      <c r="Q54" s="237"/>
      <c r="R54" s="237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</row>
    <row r="55" spans="1:34" ht="32.25" customHeight="1" thickBot="1">
      <c r="A55" s="232"/>
      <c r="B55" s="548" t="s">
        <v>319</v>
      </c>
      <c r="C55" s="548"/>
      <c r="D55" s="548"/>
      <c r="E55" s="548"/>
      <c r="F55" s="548"/>
      <c r="G55" s="548"/>
      <c r="H55" s="548"/>
      <c r="I55" s="548"/>
      <c r="J55" s="548"/>
      <c r="K55" s="548"/>
      <c r="L55" s="548"/>
      <c r="M55" s="548"/>
      <c r="N55" s="548"/>
      <c r="O55" s="548"/>
      <c r="P55" s="548"/>
      <c r="Q55" s="548"/>
      <c r="R55" s="548"/>
      <c r="S55" s="548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</row>
    <row r="56" spans="1:34" ht="15" customHeight="1">
      <c r="A56" s="232"/>
      <c r="B56" s="531" t="s">
        <v>2</v>
      </c>
      <c r="C56" s="532"/>
      <c r="D56" s="535" t="s">
        <v>224</v>
      </c>
      <c r="E56" s="536"/>
      <c r="F56" s="536"/>
      <c r="G56" s="536"/>
      <c r="H56" s="536"/>
      <c r="I56" s="536"/>
      <c r="J56" s="536"/>
      <c r="K56" s="536"/>
      <c r="L56" s="536"/>
      <c r="M56" s="536"/>
      <c r="N56" s="536"/>
      <c r="O56" s="536"/>
      <c r="P56" s="536"/>
      <c r="Q56" s="536"/>
      <c r="R56" s="536"/>
      <c r="S56" s="537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</row>
    <row r="57" spans="1:34" ht="14.25" customHeight="1">
      <c r="A57" s="232"/>
      <c r="B57" s="533"/>
      <c r="C57" s="534"/>
      <c r="D57" s="538" t="s">
        <v>77</v>
      </c>
      <c r="E57" s="538" t="s">
        <v>225</v>
      </c>
      <c r="F57" s="538" t="s">
        <v>226</v>
      </c>
      <c r="G57" s="538"/>
      <c r="H57" s="538"/>
      <c r="I57" s="538"/>
      <c r="J57" s="538"/>
      <c r="K57" s="538"/>
      <c r="L57" s="538"/>
      <c r="M57" s="538"/>
      <c r="N57" s="538" t="s">
        <v>227</v>
      </c>
      <c r="O57" s="538"/>
      <c r="P57" s="538"/>
      <c r="Q57" s="538"/>
      <c r="R57" s="538"/>
      <c r="S57" s="550" t="s">
        <v>228</v>
      </c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</row>
    <row r="58" spans="1:34" ht="26.25" thickBot="1">
      <c r="A58" s="232"/>
      <c r="B58" s="533"/>
      <c r="C58" s="534"/>
      <c r="D58" s="539"/>
      <c r="E58" s="539"/>
      <c r="F58" s="260" t="s">
        <v>80</v>
      </c>
      <c r="G58" s="260" t="s">
        <v>229</v>
      </c>
      <c r="H58" s="260" t="s">
        <v>82</v>
      </c>
      <c r="I58" s="260" t="s">
        <v>84</v>
      </c>
      <c r="J58" s="260" t="s">
        <v>85</v>
      </c>
      <c r="K58" s="260" t="s">
        <v>230</v>
      </c>
      <c r="L58" s="260" t="s">
        <v>86</v>
      </c>
      <c r="M58" s="260" t="s">
        <v>231</v>
      </c>
      <c r="N58" s="260" t="s">
        <v>232</v>
      </c>
      <c r="O58" s="260" t="s">
        <v>233</v>
      </c>
      <c r="P58" s="260" t="s">
        <v>234</v>
      </c>
      <c r="Q58" s="260" t="s">
        <v>235</v>
      </c>
      <c r="R58" s="260" t="s">
        <v>236</v>
      </c>
      <c r="S58" s="551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</row>
    <row r="59" spans="1:34" ht="15" customHeight="1">
      <c r="A59" s="232"/>
      <c r="B59" s="261" t="s">
        <v>237</v>
      </c>
      <c r="C59" s="262"/>
      <c r="D59" s="263"/>
      <c r="E59" s="263"/>
      <c r="F59" s="263"/>
      <c r="G59" s="263"/>
      <c r="H59" s="263"/>
      <c r="I59" s="263"/>
      <c r="J59" s="263"/>
      <c r="K59" s="263"/>
      <c r="L59" s="263"/>
      <c r="M59" s="263"/>
      <c r="N59" s="263"/>
      <c r="O59" s="263"/>
      <c r="P59" s="263"/>
      <c r="Q59" s="263"/>
      <c r="R59" s="263"/>
      <c r="S59" s="264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</row>
    <row r="60" spans="1:34" ht="14.25" customHeight="1">
      <c r="A60" s="232"/>
      <c r="B60" s="265" t="s">
        <v>238</v>
      </c>
      <c r="C60" s="266"/>
      <c r="D60" s="267">
        <f>IFERROR((D37/$S37)*$S60,)</f>
        <v>47509.449922591499</v>
      </c>
      <c r="E60" s="267">
        <f t="shared" ref="E60:R60" si="12">IFERROR((E37/$S37)*$S60,)</f>
        <v>173292.14107282803</v>
      </c>
      <c r="F60" s="267">
        <f t="shared" si="12"/>
        <v>44157.797175026724</v>
      </c>
      <c r="G60" s="267">
        <f t="shared" si="12"/>
        <v>0</v>
      </c>
      <c r="H60" s="267">
        <f t="shared" si="12"/>
        <v>2355.9799238724368</v>
      </c>
      <c r="I60" s="267">
        <f t="shared" si="12"/>
        <v>0</v>
      </c>
      <c r="J60" s="267">
        <f t="shared" si="12"/>
        <v>0</v>
      </c>
      <c r="K60" s="267">
        <f t="shared" si="12"/>
        <v>0</v>
      </c>
      <c r="L60" s="267">
        <f t="shared" si="12"/>
        <v>0</v>
      </c>
      <c r="M60" s="267">
        <f t="shared" si="12"/>
        <v>0</v>
      </c>
      <c r="N60" s="267">
        <f t="shared" si="12"/>
        <v>0</v>
      </c>
      <c r="O60" s="267">
        <f t="shared" si="12"/>
        <v>11585.493019681238</v>
      </c>
      <c r="P60" s="267">
        <f t="shared" si="12"/>
        <v>0</v>
      </c>
      <c r="Q60" s="267">
        <f t="shared" si="12"/>
        <v>0</v>
      </c>
      <c r="R60" s="267">
        <f t="shared" si="12"/>
        <v>0</v>
      </c>
      <c r="S60" s="268">
        <f>SUM_SEAP!S15*(BAU!S15+1)</f>
        <v>278900.86111399997</v>
      </c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</row>
    <row r="61" spans="1:34" ht="14.25" customHeight="1">
      <c r="A61" s="232"/>
      <c r="B61" s="269" t="s">
        <v>239</v>
      </c>
      <c r="C61" s="270"/>
      <c r="D61" s="267">
        <f t="shared" ref="D61:R61" si="13">IFERROR((D38/$S38)*$S61,)</f>
        <v>935260.30680958717</v>
      </c>
      <c r="E61" s="267">
        <f t="shared" si="13"/>
        <v>678247.37585844705</v>
      </c>
      <c r="F61" s="267">
        <f t="shared" si="13"/>
        <v>297153.49318884237</v>
      </c>
      <c r="G61" s="267">
        <f t="shared" si="13"/>
        <v>1116.9447758297113</v>
      </c>
      <c r="H61" s="267">
        <f t="shared" si="13"/>
        <v>13739.445739572298</v>
      </c>
      <c r="I61" s="267">
        <f t="shared" si="13"/>
        <v>0</v>
      </c>
      <c r="J61" s="267">
        <f t="shared" si="13"/>
        <v>0</v>
      </c>
      <c r="K61" s="267">
        <f t="shared" si="13"/>
        <v>0</v>
      </c>
      <c r="L61" s="267">
        <f t="shared" si="13"/>
        <v>0</v>
      </c>
      <c r="M61" s="267">
        <f t="shared" si="13"/>
        <v>4098.7036982366226</v>
      </c>
      <c r="N61" s="267">
        <f t="shared" si="13"/>
        <v>0</v>
      </c>
      <c r="O61" s="267">
        <f t="shared" si="13"/>
        <v>0</v>
      </c>
      <c r="P61" s="267">
        <f t="shared" si="13"/>
        <v>0</v>
      </c>
      <c r="Q61" s="267">
        <f t="shared" si="13"/>
        <v>0</v>
      </c>
      <c r="R61" s="267">
        <f t="shared" si="13"/>
        <v>0</v>
      </c>
      <c r="S61" s="268">
        <f>SUM_SEAP!S16*(BAU!S16+1)</f>
        <v>1929616.2700705153</v>
      </c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</row>
    <row r="62" spans="1:34" ht="15" customHeight="1">
      <c r="A62" s="232"/>
      <c r="B62" s="269" t="s">
        <v>0</v>
      </c>
      <c r="C62" s="270"/>
      <c r="D62" s="267">
        <f t="shared" ref="D62:R62" si="14">IFERROR((D39/$S39)*$S62,)</f>
        <v>711664.46565929661</v>
      </c>
      <c r="E62" s="267">
        <f t="shared" si="14"/>
        <v>1528047.3714450318</v>
      </c>
      <c r="F62" s="267">
        <f t="shared" si="14"/>
        <v>1227598.1836045894</v>
      </c>
      <c r="G62" s="267">
        <f t="shared" si="14"/>
        <v>14332.674083848431</v>
      </c>
      <c r="H62" s="267">
        <f t="shared" si="14"/>
        <v>2014.4143472971491</v>
      </c>
      <c r="I62" s="267">
        <f t="shared" si="14"/>
        <v>0</v>
      </c>
      <c r="J62" s="267">
        <f t="shared" si="14"/>
        <v>0</v>
      </c>
      <c r="K62" s="267">
        <f t="shared" si="14"/>
        <v>0</v>
      </c>
      <c r="L62" s="267">
        <f t="shared" si="14"/>
        <v>363863.18966226798</v>
      </c>
      <c r="M62" s="267">
        <f t="shared" si="14"/>
        <v>0</v>
      </c>
      <c r="N62" s="267">
        <f t="shared" si="14"/>
        <v>0</v>
      </c>
      <c r="O62" s="267">
        <f t="shared" si="14"/>
        <v>0</v>
      </c>
      <c r="P62" s="267">
        <f t="shared" si="14"/>
        <v>209853.32436118514</v>
      </c>
      <c r="Q62" s="267">
        <f t="shared" si="14"/>
        <v>6274.258219688455</v>
      </c>
      <c r="R62" s="267">
        <f t="shared" si="14"/>
        <v>0</v>
      </c>
      <c r="S62" s="268">
        <f>SUM_SEAP!S17*(BAU!S17+1)</f>
        <v>4063647.8813832048</v>
      </c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</row>
    <row r="63" spans="1:34" ht="15" customHeight="1">
      <c r="A63" s="232"/>
      <c r="B63" s="269" t="s">
        <v>42</v>
      </c>
      <c r="C63" s="270"/>
      <c r="D63" s="267">
        <f t="shared" ref="D63:R63" si="15">IFERROR((D40/$S40)*$S63,)</f>
        <v>25304.164668095651</v>
      </c>
      <c r="E63" s="267">
        <f t="shared" si="15"/>
        <v>0</v>
      </c>
      <c r="F63" s="267">
        <f t="shared" si="15"/>
        <v>505.83533190434946</v>
      </c>
      <c r="G63" s="267">
        <f t="shared" si="15"/>
        <v>0</v>
      </c>
      <c r="H63" s="267">
        <f t="shared" si="15"/>
        <v>0</v>
      </c>
      <c r="I63" s="267">
        <f t="shared" si="15"/>
        <v>0</v>
      </c>
      <c r="J63" s="267">
        <f t="shared" si="15"/>
        <v>0</v>
      </c>
      <c r="K63" s="267">
        <f t="shared" si="15"/>
        <v>0</v>
      </c>
      <c r="L63" s="267">
        <f t="shared" si="15"/>
        <v>0</v>
      </c>
      <c r="M63" s="267">
        <f t="shared" si="15"/>
        <v>0</v>
      </c>
      <c r="N63" s="267">
        <f t="shared" si="15"/>
        <v>0</v>
      </c>
      <c r="O63" s="267">
        <f t="shared" si="15"/>
        <v>0</v>
      </c>
      <c r="P63" s="267">
        <f t="shared" si="15"/>
        <v>0</v>
      </c>
      <c r="Q63" s="267">
        <f t="shared" si="15"/>
        <v>0</v>
      </c>
      <c r="R63" s="267">
        <f t="shared" si="15"/>
        <v>0</v>
      </c>
      <c r="S63" s="268">
        <f>SUM_SEAP!S18*(BAU!S18+1)</f>
        <v>25810</v>
      </c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</row>
    <row r="64" spans="1:34" ht="15" customHeight="1">
      <c r="A64" s="232"/>
      <c r="B64" s="541" t="s">
        <v>11</v>
      </c>
      <c r="C64" s="350" t="s">
        <v>240</v>
      </c>
      <c r="D64" s="349"/>
      <c r="E64" s="349"/>
      <c r="F64" s="349"/>
      <c r="G64" s="349"/>
      <c r="H64" s="349"/>
      <c r="I64" s="349"/>
      <c r="J64" s="349"/>
      <c r="K64" s="349"/>
      <c r="L64" s="349"/>
      <c r="M64" s="349"/>
      <c r="N64" s="349"/>
      <c r="O64" s="349"/>
      <c r="P64" s="349"/>
      <c r="Q64" s="349"/>
      <c r="R64" s="349"/>
      <c r="S64" s="349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</row>
    <row r="65" spans="1:33" ht="18.75" customHeight="1">
      <c r="A65" s="232"/>
      <c r="B65" s="542"/>
      <c r="C65" s="351" t="s">
        <v>241</v>
      </c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</row>
    <row r="66" spans="1:33" ht="18.75" customHeight="1">
      <c r="A66" s="232"/>
      <c r="B66" s="543"/>
      <c r="C66" s="272" t="s">
        <v>228</v>
      </c>
      <c r="D66" s="267">
        <f t="shared" ref="D66:R66" si="16">IFERROR((D43/$S43)*$S66,)</f>
        <v>665756.36404319422</v>
      </c>
      <c r="E66" s="267">
        <f t="shared" si="16"/>
        <v>72735.412149197771</v>
      </c>
      <c r="F66" s="267">
        <f t="shared" si="16"/>
        <v>308289.37739798927</v>
      </c>
      <c r="G66" s="267">
        <f t="shared" si="16"/>
        <v>14.003324628550734</v>
      </c>
      <c r="H66" s="267">
        <f t="shared" si="16"/>
        <v>8444.004751016093</v>
      </c>
      <c r="I66" s="267">
        <f t="shared" si="16"/>
        <v>0</v>
      </c>
      <c r="J66" s="267">
        <f t="shared" si="16"/>
        <v>0</v>
      </c>
      <c r="K66" s="267">
        <f t="shared" si="16"/>
        <v>0</v>
      </c>
      <c r="L66" s="267">
        <f t="shared" si="16"/>
        <v>0</v>
      </c>
      <c r="M66" s="267">
        <f t="shared" si="16"/>
        <v>97438.833022618564</v>
      </c>
      <c r="N66" s="267">
        <f t="shared" si="16"/>
        <v>0</v>
      </c>
      <c r="O66" s="267">
        <f t="shared" si="16"/>
        <v>0</v>
      </c>
      <c r="P66" s="267">
        <f t="shared" si="16"/>
        <v>0</v>
      </c>
      <c r="Q66" s="267">
        <f t="shared" si="16"/>
        <v>0</v>
      </c>
      <c r="R66" s="267">
        <f t="shared" si="16"/>
        <v>0</v>
      </c>
      <c r="S66" s="274">
        <f>SUM_SEAP!S21*(BAU!S21+1)</f>
        <v>1152677.9946886445</v>
      </c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</row>
    <row r="67" spans="1:33" ht="15" customHeight="1" thickBot="1">
      <c r="A67" s="232"/>
      <c r="B67" s="275" t="s">
        <v>242</v>
      </c>
      <c r="C67" s="276"/>
      <c r="D67" s="277">
        <f>SUM(D60:D63,D66)</f>
        <v>2385494.7511027651</v>
      </c>
      <c r="E67" s="277">
        <f t="shared" ref="E67:Q67" si="17">SUM(E60:E63,E66)</f>
        <v>2452322.3005255046</v>
      </c>
      <c r="F67" s="277">
        <f t="shared" si="17"/>
        <v>1877704.686698352</v>
      </c>
      <c r="G67" s="277">
        <f t="shared" si="17"/>
        <v>15463.622184306694</v>
      </c>
      <c r="H67" s="277">
        <f t="shared" si="17"/>
        <v>26553.84476175798</v>
      </c>
      <c r="I67" s="277">
        <f t="shared" si="17"/>
        <v>0</v>
      </c>
      <c r="J67" s="277">
        <f t="shared" si="17"/>
        <v>0</v>
      </c>
      <c r="K67" s="277">
        <f t="shared" si="17"/>
        <v>0</v>
      </c>
      <c r="L67" s="277">
        <f t="shared" si="17"/>
        <v>363863.18966226798</v>
      </c>
      <c r="M67" s="277">
        <f t="shared" si="17"/>
        <v>101537.53672085519</v>
      </c>
      <c r="N67" s="277">
        <f t="shared" si="17"/>
        <v>0</v>
      </c>
      <c r="O67" s="277">
        <f t="shared" si="17"/>
        <v>11585.493019681238</v>
      </c>
      <c r="P67" s="277">
        <f t="shared" si="17"/>
        <v>209853.32436118514</v>
      </c>
      <c r="Q67" s="277">
        <f t="shared" si="17"/>
        <v>6274.258219688455</v>
      </c>
      <c r="R67" s="277">
        <f>SUM(R60:R63,R66)</f>
        <v>0</v>
      </c>
      <c r="S67" s="278">
        <f>SUM(S60:S66)</f>
        <v>7450653.0072563644</v>
      </c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</row>
    <row r="68" spans="1:33" ht="15" customHeight="1">
      <c r="A68" s="232"/>
      <c r="B68" s="279" t="s">
        <v>243</v>
      </c>
      <c r="C68" s="280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</row>
    <row r="69" spans="1:33" ht="15" customHeight="1">
      <c r="A69" s="232"/>
      <c r="B69" s="269" t="s">
        <v>244</v>
      </c>
      <c r="C69" s="283"/>
      <c r="D69" s="267">
        <f t="shared" ref="D69:R69" si="18">IFERROR((D46/$S46)*$S69,)</f>
        <v>0</v>
      </c>
      <c r="E69" s="267">
        <f t="shared" si="18"/>
        <v>0</v>
      </c>
      <c r="F69" s="267">
        <f t="shared" si="18"/>
        <v>0</v>
      </c>
      <c r="G69" s="267">
        <f t="shared" si="18"/>
        <v>15.441589750000002</v>
      </c>
      <c r="H69" s="267">
        <f t="shared" si="18"/>
        <v>0</v>
      </c>
      <c r="I69" s="267">
        <f t="shared" si="18"/>
        <v>23247.534488694455</v>
      </c>
      <c r="J69" s="267">
        <f t="shared" si="18"/>
        <v>838.85199999999998</v>
      </c>
      <c r="K69" s="267">
        <f t="shared" si="18"/>
        <v>0</v>
      </c>
      <c r="L69" s="267">
        <f t="shared" si="18"/>
        <v>0</v>
      </c>
      <c r="M69" s="267">
        <f t="shared" si="18"/>
        <v>0</v>
      </c>
      <c r="N69" s="267">
        <f t="shared" si="18"/>
        <v>0</v>
      </c>
      <c r="O69" s="267">
        <f t="shared" si="18"/>
        <v>0</v>
      </c>
      <c r="P69" s="267">
        <f t="shared" si="18"/>
        <v>0</v>
      </c>
      <c r="Q69" s="267">
        <f t="shared" si="18"/>
        <v>0</v>
      </c>
      <c r="R69" s="267">
        <f t="shared" si="18"/>
        <v>0</v>
      </c>
      <c r="S69" s="271">
        <f>SUM_SEAP!S24*(BAU!S24+1)</f>
        <v>24101.828078444454</v>
      </c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</row>
    <row r="70" spans="1:33" ht="15" customHeight="1">
      <c r="A70" s="232"/>
      <c r="B70" s="269" t="s">
        <v>245</v>
      </c>
      <c r="C70" s="283"/>
      <c r="D70" s="267">
        <f t="shared" ref="D70:R70" si="19">IFERROR((D47/$S47)*$S70,)</f>
        <v>61891.817701618136</v>
      </c>
      <c r="E70" s="267">
        <f t="shared" si="19"/>
        <v>0</v>
      </c>
      <c r="F70" s="267">
        <f t="shared" si="19"/>
        <v>0</v>
      </c>
      <c r="G70" s="267">
        <f t="shared" si="19"/>
        <v>0</v>
      </c>
      <c r="H70" s="267">
        <f t="shared" si="19"/>
        <v>0</v>
      </c>
      <c r="I70" s="267">
        <f t="shared" si="19"/>
        <v>92871.710040317339</v>
      </c>
      <c r="J70" s="267">
        <f t="shared" si="19"/>
        <v>0</v>
      </c>
      <c r="K70" s="267">
        <f t="shared" si="19"/>
        <v>0</v>
      </c>
      <c r="L70" s="267">
        <f t="shared" si="19"/>
        <v>0</v>
      </c>
      <c r="M70" s="267">
        <f t="shared" si="19"/>
        <v>0</v>
      </c>
      <c r="N70" s="267">
        <f t="shared" si="19"/>
        <v>0</v>
      </c>
      <c r="O70" s="267">
        <f t="shared" si="19"/>
        <v>0</v>
      </c>
      <c r="P70" s="267">
        <f t="shared" si="19"/>
        <v>0</v>
      </c>
      <c r="Q70" s="267">
        <f t="shared" si="19"/>
        <v>0</v>
      </c>
      <c r="R70" s="267">
        <f t="shared" si="19"/>
        <v>0</v>
      </c>
      <c r="S70" s="271">
        <f>SUM_SEAP!S25*(BAU!S25+1)</f>
        <v>154763.52774193548</v>
      </c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</row>
    <row r="71" spans="1:33" ht="15" customHeight="1">
      <c r="A71" s="232"/>
      <c r="B71" s="269" t="s">
        <v>246</v>
      </c>
      <c r="C71" s="283"/>
      <c r="D71" s="267">
        <f t="shared" ref="D71:R71" si="20">IFERROR((D48/$S48)*$S71,)</f>
        <v>23033.647363082502</v>
      </c>
      <c r="E71" s="267">
        <f t="shared" si="20"/>
        <v>0</v>
      </c>
      <c r="F71" s="267">
        <f t="shared" si="20"/>
        <v>2549.3475345930228</v>
      </c>
      <c r="G71" s="267">
        <f t="shared" si="20"/>
        <v>245406.05786812629</v>
      </c>
      <c r="H71" s="267">
        <f t="shared" si="20"/>
        <v>0</v>
      </c>
      <c r="I71" s="267">
        <f t="shared" si="20"/>
        <v>2019351.6582161419</v>
      </c>
      <c r="J71" s="267">
        <f t="shared" si="20"/>
        <v>2403398.1621977077</v>
      </c>
      <c r="K71" s="267">
        <f t="shared" si="20"/>
        <v>0</v>
      </c>
      <c r="L71" s="267">
        <f t="shared" si="20"/>
        <v>0</v>
      </c>
      <c r="M71" s="267">
        <f t="shared" si="20"/>
        <v>0</v>
      </c>
      <c r="N71" s="267">
        <f t="shared" si="20"/>
        <v>0</v>
      </c>
      <c r="O71" s="267">
        <f t="shared" si="20"/>
        <v>29.968312157420595</v>
      </c>
      <c r="P71" s="267">
        <f t="shared" si="20"/>
        <v>0</v>
      </c>
      <c r="Q71" s="267">
        <f t="shared" si="20"/>
        <v>0</v>
      </c>
      <c r="R71" s="267">
        <f t="shared" si="20"/>
        <v>0</v>
      </c>
      <c r="S71" s="271">
        <f>SUM_SEAP!S26*(BAU!S26+1)</f>
        <v>4693768.8414918091</v>
      </c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</row>
    <row r="72" spans="1:33" ht="15" customHeight="1" thickBot="1">
      <c r="A72" s="232"/>
      <c r="B72" s="544" t="s">
        <v>247</v>
      </c>
      <c r="C72" s="545"/>
      <c r="D72" s="277">
        <f>SUM(D69:D71)</f>
        <v>84925.465064700635</v>
      </c>
      <c r="E72" s="277">
        <f t="shared" ref="E72:Q72" si="21">SUM(E69:E71)</f>
        <v>0</v>
      </c>
      <c r="F72" s="277">
        <f t="shared" si="21"/>
        <v>2549.3475345930228</v>
      </c>
      <c r="G72" s="277">
        <f t="shared" si="21"/>
        <v>245421.49945787629</v>
      </c>
      <c r="H72" s="277">
        <f t="shared" si="21"/>
        <v>0</v>
      </c>
      <c r="I72" s="277">
        <f t="shared" si="21"/>
        <v>2135470.9027451538</v>
      </c>
      <c r="J72" s="277">
        <f t="shared" si="21"/>
        <v>2404237.0141977076</v>
      </c>
      <c r="K72" s="277">
        <f t="shared" si="21"/>
        <v>0</v>
      </c>
      <c r="L72" s="277">
        <f t="shared" si="21"/>
        <v>0</v>
      </c>
      <c r="M72" s="277">
        <f t="shared" si="21"/>
        <v>0</v>
      </c>
      <c r="N72" s="277">
        <f t="shared" si="21"/>
        <v>0</v>
      </c>
      <c r="O72" s="277">
        <f t="shared" si="21"/>
        <v>29.968312157420595</v>
      </c>
      <c r="P72" s="277">
        <f t="shared" si="21"/>
        <v>0</v>
      </c>
      <c r="Q72" s="277">
        <f t="shared" si="21"/>
        <v>0</v>
      </c>
      <c r="R72" s="277">
        <f>SUM(R69:R71)</f>
        <v>0</v>
      </c>
      <c r="S72" s="278">
        <f>SUM(S69:S71)</f>
        <v>4872634.1973121893</v>
      </c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</row>
    <row r="73" spans="1:33">
      <c r="A73" s="232"/>
      <c r="B73" s="284" t="s">
        <v>248</v>
      </c>
      <c r="C73" s="280"/>
      <c r="D73" s="281"/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1"/>
      <c r="Q73" s="281"/>
      <c r="R73" s="281"/>
      <c r="S73" s="285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</row>
    <row r="74" spans="1:33" ht="15" customHeight="1">
      <c r="A74" s="232"/>
      <c r="B74" s="269" t="s">
        <v>249</v>
      </c>
      <c r="C74" s="283"/>
      <c r="D74" s="267">
        <f>IFERROR((D51/$S51)*$S74,)</f>
        <v>0</v>
      </c>
      <c r="E74" s="267">
        <f t="shared" ref="E74:R74" si="22">IFERROR((E51/$S51)*$S74,)</f>
        <v>0</v>
      </c>
      <c r="F74" s="267">
        <f t="shared" si="22"/>
        <v>4532.9853712064214</v>
      </c>
      <c r="G74" s="267">
        <f t="shared" si="22"/>
        <v>0</v>
      </c>
      <c r="H74" s="267">
        <f t="shared" si="22"/>
        <v>0</v>
      </c>
      <c r="I74" s="267">
        <f t="shared" si="22"/>
        <v>9013.6119761619975</v>
      </c>
      <c r="J74" s="267">
        <f t="shared" si="22"/>
        <v>0</v>
      </c>
      <c r="K74" s="267">
        <f t="shared" si="22"/>
        <v>0</v>
      </c>
      <c r="L74" s="267">
        <f t="shared" si="22"/>
        <v>0</v>
      </c>
      <c r="M74" s="267">
        <f t="shared" si="22"/>
        <v>0</v>
      </c>
      <c r="N74" s="267">
        <f t="shared" si="22"/>
        <v>0</v>
      </c>
      <c r="O74" s="267">
        <f t="shared" si="22"/>
        <v>0</v>
      </c>
      <c r="P74" s="267">
        <f t="shared" si="22"/>
        <v>0</v>
      </c>
      <c r="Q74" s="267">
        <f t="shared" si="22"/>
        <v>0</v>
      </c>
      <c r="R74" s="267">
        <f t="shared" si="22"/>
        <v>0</v>
      </c>
      <c r="S74" s="271">
        <f>SUM_SEAP!S29*(BAU!S29+1)</f>
        <v>13546.597347368421</v>
      </c>
      <c r="T74" s="232"/>
      <c r="U74" s="232" t="s">
        <v>329</v>
      </c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</row>
    <row r="75" spans="1:33" ht="15.75" customHeight="1" thickBot="1">
      <c r="A75" s="232"/>
      <c r="B75" s="579" t="s">
        <v>250</v>
      </c>
      <c r="C75" s="580"/>
      <c r="D75" s="414">
        <f>D67+D72+D74</f>
        <v>2470420.2161674658</v>
      </c>
      <c r="E75" s="414">
        <f t="shared" ref="E75:R75" si="23">E67+E72+E74</f>
        <v>2452322.3005255046</v>
      </c>
      <c r="F75" s="414">
        <f t="shared" si="23"/>
        <v>1884787.0196041514</v>
      </c>
      <c r="G75" s="414">
        <f t="shared" si="23"/>
        <v>260885.12164218299</v>
      </c>
      <c r="H75" s="414">
        <f t="shared" si="23"/>
        <v>26553.84476175798</v>
      </c>
      <c r="I75" s="414">
        <f t="shared" si="23"/>
        <v>2144484.5147213158</v>
      </c>
      <c r="J75" s="414">
        <f t="shared" si="23"/>
        <v>2404237.0141977076</v>
      </c>
      <c r="K75" s="414">
        <f t="shared" si="23"/>
        <v>0</v>
      </c>
      <c r="L75" s="414">
        <f t="shared" si="23"/>
        <v>363863.18966226798</v>
      </c>
      <c r="M75" s="414">
        <f t="shared" si="23"/>
        <v>101537.53672085519</v>
      </c>
      <c r="N75" s="414">
        <f t="shared" si="23"/>
        <v>0</v>
      </c>
      <c r="O75" s="414">
        <f t="shared" si="23"/>
        <v>11615.461331838658</v>
      </c>
      <c r="P75" s="414">
        <f t="shared" si="23"/>
        <v>209853.32436118514</v>
      </c>
      <c r="Q75" s="414">
        <f t="shared" si="23"/>
        <v>6274.258219688455</v>
      </c>
      <c r="R75" s="414">
        <f t="shared" si="23"/>
        <v>0</v>
      </c>
      <c r="S75" s="414">
        <f>S67+S72+S74</f>
        <v>12336833.801915921</v>
      </c>
      <c r="T75" s="232"/>
      <c r="U75" s="232" t="s">
        <v>330</v>
      </c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</row>
    <row r="76" spans="1:33" ht="13.5" thickBot="1">
      <c r="A76" s="232"/>
      <c r="B76" s="417" t="s">
        <v>328</v>
      </c>
      <c r="C76" s="418">
        <f>SUM_SEAP!E3</f>
        <v>2021</v>
      </c>
      <c r="D76" s="415">
        <f>IFERROR(D75/SUM_SEAP!D30,)</f>
        <v>0.97898636910839254</v>
      </c>
      <c r="E76" s="415">
        <f>IFERROR(E75/SUM_SEAP!E30,)</f>
        <v>0.98631274118505186</v>
      </c>
      <c r="F76" s="415">
        <f>IFERROR(F75/SUM_SEAP!F30,)</f>
        <v>0.99442512545265516</v>
      </c>
      <c r="G76" s="415">
        <f>IFERROR(G75/SUM_SEAP!G30,)</f>
        <v>0.98101035649849144</v>
      </c>
      <c r="H76" s="415">
        <f>IFERROR(H75/SUM_SEAP!H30,)</f>
        <v>0.99185841012906462</v>
      </c>
      <c r="I76" s="415">
        <f>IFERROR(I75/SUM_SEAP!I30,)</f>
        <v>0.98001655731416593</v>
      </c>
      <c r="J76" s="415">
        <f>IFERROR(J75/SUM_SEAP!J30,)</f>
        <v>0.97944515226775419</v>
      </c>
      <c r="K76" s="415">
        <f>IFERROR(K75/SUM_SEAP!K30,)</f>
        <v>0</v>
      </c>
      <c r="L76" s="415">
        <f>IFERROR(L75/SUM_SEAP!L30,)</f>
        <v>1.0229496476307787</v>
      </c>
      <c r="M76" s="415">
        <f>IFERROR(M75/SUM_SEAP!M30,)</f>
        <v>0.96917633344185772</v>
      </c>
      <c r="N76" s="415">
        <f>IFERROR(N75/SUM_SEAP!N30,)</f>
        <v>0</v>
      </c>
      <c r="O76" s="415">
        <f>IFERROR(O75/SUM_SEAP!O30,)</f>
        <v>0.99387238476487794</v>
      </c>
      <c r="P76" s="415">
        <f>IFERROR(P75/SUM_SEAP!P30,)</f>
        <v>0.98859837514904836</v>
      </c>
      <c r="Q76" s="415">
        <f>IFERROR(Q75/SUM_SEAP!Q30,)</f>
        <v>0.98859837514904836</v>
      </c>
      <c r="R76" s="415">
        <f>IFERROR(R75/SUM_SEAP!R30,)</f>
        <v>0</v>
      </c>
      <c r="S76" s="416">
        <f>IFERROR(S75/SUM_SEAP!S30,)</f>
        <v>0.98446266911312663</v>
      </c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</row>
    <row r="77" spans="1:33" ht="15.75" hidden="1">
      <c r="A77" s="232"/>
      <c r="B77" s="288" t="s">
        <v>251</v>
      </c>
      <c r="C77" s="289"/>
      <c r="D77" s="289"/>
      <c r="E77" s="235"/>
      <c r="F77" s="235"/>
      <c r="G77" s="235"/>
      <c r="H77" s="235"/>
      <c r="I77" s="235"/>
      <c r="J77" s="235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</row>
    <row r="78" spans="1:33" ht="55.5" hidden="1" customHeight="1">
      <c r="A78" s="232"/>
      <c r="B78" s="301" t="s">
        <v>252</v>
      </c>
      <c r="C78" s="336" t="s">
        <v>253</v>
      </c>
      <c r="D78" s="336" t="s">
        <v>254</v>
      </c>
      <c r="E78" s="337" t="s">
        <v>255</v>
      </c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</row>
    <row r="79" spans="1:33" hidden="1">
      <c r="A79" s="232"/>
      <c r="B79" s="293" t="s">
        <v>256</v>
      </c>
      <c r="C79" s="294"/>
      <c r="D79" s="295"/>
      <c r="E79" s="296">
        <f>C79*D79</f>
        <v>0</v>
      </c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</row>
    <row r="80" spans="1:33" ht="15" hidden="1" customHeight="1">
      <c r="A80" s="232"/>
      <c r="B80" s="293" t="s">
        <v>257</v>
      </c>
      <c r="C80" s="294"/>
      <c r="D80" s="295"/>
      <c r="E80" s="296">
        <f>C80*D80</f>
        <v>0</v>
      </c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</row>
    <row r="81" spans="1:33" ht="15" hidden="1" customHeight="1">
      <c r="A81" s="232"/>
      <c r="B81" s="293" t="s">
        <v>258</v>
      </c>
      <c r="C81" s="294"/>
      <c r="D81" s="295"/>
      <c r="E81" s="296">
        <f>C81*D81</f>
        <v>0</v>
      </c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</row>
    <row r="82" spans="1:33" ht="15" hidden="1" customHeight="1">
      <c r="A82" s="232"/>
      <c r="B82" s="293" t="s">
        <v>259</v>
      </c>
      <c r="C82" s="294"/>
      <c r="D82" s="295"/>
      <c r="E82" s="296">
        <f>C82*D82</f>
        <v>0</v>
      </c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</row>
    <row r="83" spans="1:33" ht="13.5" hidden="1" thickBot="1">
      <c r="A83" s="232"/>
      <c r="B83" s="297" t="s">
        <v>250</v>
      </c>
      <c r="C83" s="298">
        <f>SUM(C79:C82)</f>
        <v>0</v>
      </c>
      <c r="D83" s="299"/>
      <c r="E83" s="300">
        <f>SUM(E79:E82)</f>
        <v>0</v>
      </c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</row>
    <row r="84" spans="1:33" hidden="1">
      <c r="A84" s="232"/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</row>
    <row r="85" spans="1:33" ht="15.75" hidden="1">
      <c r="A85" s="232"/>
      <c r="B85" s="288" t="s">
        <v>260</v>
      </c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</row>
    <row r="86" spans="1:33" ht="14.25" hidden="1" customHeight="1">
      <c r="A86" s="232"/>
      <c r="B86" s="563" t="s">
        <v>261</v>
      </c>
      <c r="C86" s="570" t="s">
        <v>262</v>
      </c>
      <c r="D86" s="571"/>
      <c r="E86" s="574" t="s">
        <v>263</v>
      </c>
      <c r="F86" s="558"/>
      <c r="G86" s="558"/>
      <c r="H86" s="558"/>
      <c r="I86" s="558"/>
      <c r="J86" s="558"/>
      <c r="K86" s="558"/>
      <c r="L86" s="558"/>
      <c r="M86" s="558"/>
      <c r="N86" s="575"/>
      <c r="O86" s="570" t="s">
        <v>255</v>
      </c>
      <c r="P86" s="571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</row>
    <row r="87" spans="1:33" ht="14.25" hidden="1" customHeight="1">
      <c r="A87" s="232"/>
      <c r="B87" s="564"/>
      <c r="C87" s="572"/>
      <c r="D87" s="573"/>
      <c r="E87" s="576" t="s">
        <v>226</v>
      </c>
      <c r="F87" s="577"/>
      <c r="G87" s="577"/>
      <c r="H87" s="577"/>
      <c r="I87" s="578"/>
      <c r="J87" s="565" t="s">
        <v>264</v>
      </c>
      <c r="K87" s="565" t="s">
        <v>232</v>
      </c>
      <c r="L87" s="565" t="s">
        <v>234</v>
      </c>
      <c r="M87" s="565" t="s">
        <v>265</v>
      </c>
      <c r="N87" s="565" t="s">
        <v>266</v>
      </c>
      <c r="O87" s="572"/>
      <c r="P87" s="573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</row>
    <row r="88" spans="1:33" ht="38.25" hidden="1" customHeight="1">
      <c r="A88" s="232"/>
      <c r="B88" s="564"/>
      <c r="C88" s="338" t="s">
        <v>228</v>
      </c>
      <c r="D88" s="338" t="s">
        <v>267</v>
      </c>
      <c r="E88" s="338" t="s">
        <v>80</v>
      </c>
      <c r="F88" s="338" t="s">
        <v>229</v>
      </c>
      <c r="G88" s="338" t="s">
        <v>82</v>
      </c>
      <c r="H88" s="338" t="s">
        <v>230</v>
      </c>
      <c r="I88" s="338" t="s">
        <v>86</v>
      </c>
      <c r="J88" s="566"/>
      <c r="K88" s="566"/>
      <c r="L88" s="566"/>
      <c r="M88" s="566"/>
      <c r="N88" s="566"/>
      <c r="O88" s="338" t="s">
        <v>268</v>
      </c>
      <c r="P88" s="338" t="s">
        <v>269</v>
      </c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</row>
    <row r="89" spans="1:33" hidden="1">
      <c r="A89" s="232"/>
      <c r="B89" s="303" t="s">
        <v>270</v>
      </c>
      <c r="C89" s="304"/>
      <c r="D89" s="304"/>
      <c r="E89" s="304"/>
      <c r="F89" s="304"/>
      <c r="G89" s="304"/>
      <c r="H89" s="304"/>
      <c r="I89" s="304"/>
      <c r="J89" s="304"/>
      <c r="K89" s="304"/>
      <c r="L89" s="304"/>
      <c r="M89" s="304"/>
      <c r="N89" s="304"/>
      <c r="O89" s="304"/>
      <c r="P89" s="304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</row>
    <row r="90" spans="1:33" hidden="1">
      <c r="A90" s="232"/>
      <c r="B90" s="303" t="s">
        <v>266</v>
      </c>
      <c r="C90" s="304"/>
      <c r="D90" s="304"/>
      <c r="E90" s="304"/>
      <c r="F90" s="304"/>
      <c r="G90" s="304"/>
      <c r="H90" s="304"/>
      <c r="I90" s="304"/>
      <c r="J90" s="304"/>
      <c r="K90" s="304"/>
      <c r="L90" s="304"/>
      <c r="M90" s="304"/>
      <c r="N90" s="304"/>
      <c r="O90" s="304"/>
      <c r="P90" s="304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</row>
    <row r="91" spans="1:33" ht="13.5" hidden="1" thickBot="1">
      <c r="A91" s="232"/>
      <c r="B91" s="297" t="s">
        <v>228</v>
      </c>
      <c r="C91" s="298">
        <f>SUM(C89:C90)</f>
        <v>0</v>
      </c>
      <c r="D91" s="298">
        <f t="shared" ref="D91:P91" si="24">SUM(D89:D90)</f>
        <v>0</v>
      </c>
      <c r="E91" s="298">
        <f t="shared" si="24"/>
        <v>0</v>
      </c>
      <c r="F91" s="298">
        <f t="shared" si="24"/>
        <v>0</v>
      </c>
      <c r="G91" s="298">
        <f t="shared" si="24"/>
        <v>0</v>
      </c>
      <c r="H91" s="298">
        <f t="shared" si="24"/>
        <v>0</v>
      </c>
      <c r="I91" s="298">
        <f t="shared" si="24"/>
        <v>0</v>
      </c>
      <c r="J91" s="298">
        <f t="shared" si="24"/>
        <v>0</v>
      </c>
      <c r="K91" s="298">
        <f t="shared" si="24"/>
        <v>0</v>
      </c>
      <c r="L91" s="298">
        <f t="shared" si="24"/>
        <v>0</v>
      </c>
      <c r="M91" s="298">
        <f t="shared" si="24"/>
        <v>0</v>
      </c>
      <c r="N91" s="298">
        <f t="shared" si="24"/>
        <v>0</v>
      </c>
      <c r="O91" s="298">
        <f t="shared" si="24"/>
        <v>0</v>
      </c>
      <c r="P91" s="298">
        <f t="shared" si="24"/>
        <v>0</v>
      </c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</row>
    <row r="92" spans="1:33" hidden="1">
      <c r="A92" s="232"/>
      <c r="B92" s="237"/>
      <c r="C92" s="237"/>
      <c r="D92" s="305"/>
      <c r="E92" s="235"/>
      <c r="F92" s="235"/>
      <c r="G92" s="235"/>
      <c r="H92" s="235"/>
      <c r="I92" s="235"/>
      <c r="J92" s="235"/>
      <c r="K92" s="235"/>
      <c r="L92" s="235"/>
      <c r="M92" s="235"/>
      <c r="N92" s="235"/>
      <c r="O92" s="235"/>
      <c r="P92" s="235"/>
      <c r="Q92" s="235"/>
      <c r="R92" s="235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</row>
    <row r="93" spans="1:33" ht="15.75" hidden="1">
      <c r="A93" s="232"/>
      <c r="B93" s="288" t="s">
        <v>271</v>
      </c>
      <c r="C93" s="237"/>
      <c r="D93" s="305"/>
      <c r="E93" s="235"/>
      <c r="F93" s="235"/>
      <c r="G93" s="235"/>
      <c r="H93" s="235"/>
      <c r="I93" s="235"/>
      <c r="J93" s="235"/>
      <c r="K93" s="235"/>
      <c r="L93" s="235"/>
      <c r="M93" s="235"/>
      <c r="N93" s="235"/>
      <c r="O93" s="235"/>
      <c r="P93" s="235"/>
      <c r="Q93" s="235"/>
      <c r="R93" s="235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</row>
    <row r="94" spans="1:33" ht="14.25" hidden="1" customHeight="1">
      <c r="A94" s="232"/>
      <c r="B94" s="567" t="s">
        <v>272</v>
      </c>
      <c r="C94" s="570" t="s">
        <v>273</v>
      </c>
      <c r="D94" s="571"/>
      <c r="E94" s="574" t="s">
        <v>263</v>
      </c>
      <c r="F94" s="558"/>
      <c r="G94" s="558"/>
      <c r="H94" s="558"/>
      <c r="I94" s="558"/>
      <c r="J94" s="558"/>
      <c r="K94" s="558"/>
      <c r="L94" s="558"/>
      <c r="M94" s="558"/>
      <c r="N94" s="575"/>
      <c r="O94" s="570" t="s">
        <v>255</v>
      </c>
      <c r="P94" s="571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</row>
    <row r="95" spans="1:33" ht="14.25" hidden="1" customHeight="1">
      <c r="A95" s="232"/>
      <c r="B95" s="568"/>
      <c r="C95" s="572"/>
      <c r="D95" s="573"/>
      <c r="E95" s="576" t="s">
        <v>226</v>
      </c>
      <c r="F95" s="577"/>
      <c r="G95" s="577"/>
      <c r="H95" s="577"/>
      <c r="I95" s="578"/>
      <c r="J95" s="565" t="s">
        <v>264</v>
      </c>
      <c r="K95" s="565" t="s">
        <v>232</v>
      </c>
      <c r="L95" s="565" t="s">
        <v>234</v>
      </c>
      <c r="M95" s="565" t="s">
        <v>265</v>
      </c>
      <c r="N95" s="565" t="s">
        <v>266</v>
      </c>
      <c r="O95" s="572"/>
      <c r="P95" s="573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</row>
    <row r="96" spans="1:33" ht="35.25" hidden="1" customHeight="1">
      <c r="A96" s="232"/>
      <c r="B96" s="569"/>
      <c r="C96" s="338" t="s">
        <v>228</v>
      </c>
      <c r="D96" s="338" t="s">
        <v>267</v>
      </c>
      <c r="E96" s="338" t="s">
        <v>80</v>
      </c>
      <c r="F96" s="338" t="s">
        <v>229</v>
      </c>
      <c r="G96" s="338" t="s">
        <v>82</v>
      </c>
      <c r="H96" s="338" t="s">
        <v>230</v>
      </c>
      <c r="I96" s="338" t="s">
        <v>86</v>
      </c>
      <c r="J96" s="566"/>
      <c r="K96" s="566"/>
      <c r="L96" s="566"/>
      <c r="M96" s="566"/>
      <c r="N96" s="566"/>
      <c r="O96" s="338" t="s">
        <v>268</v>
      </c>
      <c r="P96" s="338" t="s">
        <v>269</v>
      </c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</row>
    <row r="97" spans="1:33" hidden="1">
      <c r="B97" s="303" t="s">
        <v>270</v>
      </c>
      <c r="C97" s="304"/>
      <c r="D97" s="304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6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</row>
    <row r="98" spans="1:33" hidden="1">
      <c r="A98" s="232"/>
      <c r="B98" s="303" t="s">
        <v>274</v>
      </c>
      <c r="C98" s="304"/>
      <c r="D98" s="304"/>
      <c r="E98" s="304"/>
      <c r="F98" s="304"/>
      <c r="G98" s="304"/>
      <c r="H98" s="304"/>
      <c r="I98" s="304"/>
      <c r="J98" s="304"/>
      <c r="K98" s="304"/>
      <c r="L98" s="304"/>
      <c r="M98" s="304"/>
      <c r="N98" s="304"/>
      <c r="O98" s="304"/>
      <c r="P98" s="306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</row>
    <row r="99" spans="1:33" hidden="1">
      <c r="A99" s="232"/>
      <c r="B99" s="303" t="s">
        <v>266</v>
      </c>
      <c r="C99" s="304"/>
      <c r="D99" s="304"/>
      <c r="E99" s="304"/>
      <c r="F99" s="304"/>
      <c r="G99" s="304"/>
      <c r="H99" s="304"/>
      <c r="I99" s="304"/>
      <c r="J99" s="304"/>
      <c r="K99" s="304"/>
      <c r="L99" s="304"/>
      <c r="M99" s="304"/>
      <c r="N99" s="304"/>
      <c r="O99" s="304"/>
      <c r="P99" s="306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</row>
    <row r="100" spans="1:33" ht="13.5" hidden="1" thickBot="1">
      <c r="A100" s="232"/>
      <c r="B100" s="297" t="s">
        <v>228</v>
      </c>
      <c r="C100" s="298">
        <v>0</v>
      </c>
      <c r="D100" s="298">
        <v>0</v>
      </c>
      <c r="E100" s="298">
        <v>0</v>
      </c>
      <c r="F100" s="298">
        <v>0</v>
      </c>
      <c r="G100" s="298">
        <v>0</v>
      </c>
      <c r="H100" s="298">
        <v>0</v>
      </c>
      <c r="I100" s="298">
        <v>0</v>
      </c>
      <c r="J100" s="298">
        <v>0</v>
      </c>
      <c r="K100" s="298">
        <v>0</v>
      </c>
      <c r="L100" s="298">
        <v>0</v>
      </c>
      <c r="M100" s="298">
        <v>0</v>
      </c>
      <c r="N100" s="298">
        <v>0</v>
      </c>
      <c r="O100" s="298">
        <v>0</v>
      </c>
      <c r="P100" s="298">
        <v>0</v>
      </c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</row>
    <row r="101" spans="1:33" hidden="1">
      <c r="A101" s="232"/>
      <c r="B101" s="237"/>
      <c r="C101" s="237"/>
      <c r="D101" s="305"/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  <c r="O101" s="235"/>
      <c r="P101" s="235"/>
      <c r="Q101" s="235"/>
      <c r="R101" s="235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</row>
    <row r="102" spans="1:33" ht="16.5" thickBot="1">
      <c r="A102" s="232"/>
      <c r="B102" s="288" t="s">
        <v>117</v>
      </c>
      <c r="C102" s="307"/>
      <c r="D102" s="307"/>
      <c r="E102" s="307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</row>
    <row r="103" spans="1:33" ht="15" customHeight="1">
      <c r="A103" s="232"/>
      <c r="B103" s="563" t="s">
        <v>286</v>
      </c>
      <c r="C103" s="554" t="s">
        <v>77</v>
      </c>
      <c r="D103" s="554"/>
      <c r="E103" s="554" t="s">
        <v>225</v>
      </c>
      <c r="F103" s="554" t="s">
        <v>226</v>
      </c>
      <c r="G103" s="554"/>
      <c r="H103" s="554"/>
      <c r="I103" s="554"/>
      <c r="J103" s="554"/>
      <c r="K103" s="554"/>
      <c r="L103" s="554"/>
      <c r="M103" s="554"/>
      <c r="N103" s="554" t="s">
        <v>227</v>
      </c>
      <c r="O103" s="554"/>
      <c r="P103" s="554"/>
      <c r="Q103" s="554"/>
      <c r="R103" s="556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</row>
    <row r="104" spans="1:33" ht="30" customHeight="1">
      <c r="A104" s="232"/>
      <c r="B104" s="564"/>
      <c r="C104" s="338" t="s">
        <v>275</v>
      </c>
      <c r="D104" s="338" t="s">
        <v>276</v>
      </c>
      <c r="E104" s="555"/>
      <c r="F104" s="338" t="s">
        <v>80</v>
      </c>
      <c r="G104" s="338" t="s">
        <v>229</v>
      </c>
      <c r="H104" s="338" t="s">
        <v>82</v>
      </c>
      <c r="I104" s="338" t="s">
        <v>277</v>
      </c>
      <c r="J104" s="338" t="s">
        <v>85</v>
      </c>
      <c r="K104" s="338" t="s">
        <v>230</v>
      </c>
      <c r="L104" s="338" t="s">
        <v>86</v>
      </c>
      <c r="M104" s="338" t="s">
        <v>231</v>
      </c>
      <c r="N104" s="338" t="s">
        <v>233</v>
      </c>
      <c r="O104" s="338" t="s">
        <v>232</v>
      </c>
      <c r="P104" s="338" t="s">
        <v>234</v>
      </c>
      <c r="Q104" s="338" t="s">
        <v>235</v>
      </c>
      <c r="R104" s="308" t="s">
        <v>236</v>
      </c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</row>
    <row r="105" spans="1:33" ht="14.25">
      <c r="A105" s="232"/>
      <c r="B105" s="340" t="s">
        <v>287</v>
      </c>
      <c r="C105" s="344" t="e">
        <f>#REF!*3.6/1000</f>
        <v>#REF!</v>
      </c>
      <c r="D105" s="339" t="s">
        <v>140</v>
      </c>
      <c r="E105" s="344" t="e">
        <f>#REF!*3.6/1000</f>
        <v>#REF!</v>
      </c>
      <c r="F105" s="344" t="e">
        <f>#REF!*3.6/1000</f>
        <v>#REF!</v>
      </c>
      <c r="G105" s="344" t="e">
        <f>#REF!*3.6/1000</f>
        <v>#REF!</v>
      </c>
      <c r="H105" s="344" t="e">
        <f>#REF!*3.6/1000</f>
        <v>#REF!</v>
      </c>
      <c r="I105" s="344" t="e">
        <f>#REF!*3.6/1000</f>
        <v>#REF!</v>
      </c>
      <c r="J105" s="344" t="e">
        <f>#REF!*3.6/1000</f>
        <v>#REF!</v>
      </c>
      <c r="K105" s="344">
        <v>0</v>
      </c>
      <c r="L105" s="344" t="e">
        <f>#REF!*3.6/1000</f>
        <v>#REF!</v>
      </c>
      <c r="M105" s="344" t="e">
        <f>#REF!*3.6/1000</f>
        <v>#REF!</v>
      </c>
      <c r="N105" s="339">
        <v>0</v>
      </c>
      <c r="O105" s="339">
        <v>0</v>
      </c>
      <c r="P105" s="339">
        <v>0</v>
      </c>
      <c r="Q105" s="339">
        <v>0</v>
      </c>
      <c r="R105" s="339">
        <v>0</v>
      </c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</row>
    <row r="106" spans="1:33" ht="14.25">
      <c r="A106" s="232"/>
      <c r="B106" s="340" t="s">
        <v>288</v>
      </c>
      <c r="C106" s="345" t="e">
        <f>#REF!*3.6/1000</f>
        <v>#REF!</v>
      </c>
      <c r="D106" s="339" t="s">
        <v>140</v>
      </c>
      <c r="E106" s="339">
        <v>0</v>
      </c>
      <c r="F106" s="345" t="e">
        <f>#REF!*3.6/1000</f>
        <v>#REF!</v>
      </c>
      <c r="G106" s="345" t="e">
        <f>#REF!*3.6/1000</f>
        <v>#REF!</v>
      </c>
      <c r="H106" s="345" t="e">
        <f>#REF!*3.6/1000</f>
        <v>#REF!</v>
      </c>
      <c r="I106" s="345" t="e">
        <f>#REF!*3.6/1000</f>
        <v>#REF!</v>
      </c>
      <c r="J106" s="345" t="e">
        <f>#REF!*3.6/1000</f>
        <v>#REF!</v>
      </c>
      <c r="K106" s="345">
        <v>0</v>
      </c>
      <c r="L106" s="345" t="e">
        <f>#REF!*3.6/1000</f>
        <v>#REF!</v>
      </c>
      <c r="M106" s="345" t="e">
        <f>#REF!*3.6/1000</f>
        <v>#REF!</v>
      </c>
      <c r="N106" s="339">
        <v>0</v>
      </c>
      <c r="O106" s="339">
        <v>0</v>
      </c>
      <c r="P106" s="339">
        <v>0</v>
      </c>
      <c r="Q106" s="339">
        <v>0</v>
      </c>
      <c r="R106" s="339">
        <v>0</v>
      </c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</row>
    <row r="107" spans="1:33" ht="14.25">
      <c r="A107" s="232"/>
      <c r="B107" s="340" t="s">
        <v>289</v>
      </c>
      <c r="C107" s="345" t="e">
        <f>#REF!*3.6/1000</f>
        <v>#REF!</v>
      </c>
      <c r="D107" s="339" t="s">
        <v>140</v>
      </c>
      <c r="E107" s="339">
        <v>0</v>
      </c>
      <c r="F107" s="345" t="e">
        <f>#REF!*3.6/1000</f>
        <v>#REF!</v>
      </c>
      <c r="G107" s="345" t="e">
        <f>#REF!*3.6/1000</f>
        <v>#REF!</v>
      </c>
      <c r="H107" s="345" t="e">
        <f>#REF!*3.6/1000</f>
        <v>#REF!</v>
      </c>
      <c r="I107" s="345" t="e">
        <f>#REF!*3.6/1000</f>
        <v>#REF!</v>
      </c>
      <c r="J107" s="345" t="e">
        <f>#REF!*3.6/1000</f>
        <v>#REF!</v>
      </c>
      <c r="K107" s="345">
        <v>0</v>
      </c>
      <c r="L107" s="345" t="e">
        <f>#REF!*3.6/1000</f>
        <v>#REF!</v>
      </c>
      <c r="M107" s="345" t="e">
        <f>#REF!*3.6/1000</f>
        <v>#REF!</v>
      </c>
      <c r="N107" s="339">
        <v>0</v>
      </c>
      <c r="O107" s="339">
        <v>0</v>
      </c>
      <c r="P107" s="339">
        <v>0</v>
      </c>
      <c r="Q107" s="339">
        <v>0</v>
      </c>
      <c r="R107" s="339">
        <v>0</v>
      </c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</row>
    <row r="108" spans="1:33" ht="14.25">
      <c r="A108" s="232"/>
      <c r="B108" s="340" t="s">
        <v>290</v>
      </c>
      <c r="C108" s="339" t="e">
        <f t="shared" ref="C108:R108" si="25">GWP_CH4</f>
        <v>#REF!</v>
      </c>
      <c r="D108" s="339" t="e">
        <f t="shared" si="25"/>
        <v>#REF!</v>
      </c>
      <c r="E108" s="339" t="e">
        <f t="shared" si="25"/>
        <v>#REF!</v>
      </c>
      <c r="F108" s="339" t="e">
        <f t="shared" si="25"/>
        <v>#REF!</v>
      </c>
      <c r="G108" s="339" t="e">
        <f t="shared" si="25"/>
        <v>#REF!</v>
      </c>
      <c r="H108" s="339" t="e">
        <f t="shared" si="25"/>
        <v>#REF!</v>
      </c>
      <c r="I108" s="339" t="e">
        <f t="shared" si="25"/>
        <v>#REF!</v>
      </c>
      <c r="J108" s="339" t="e">
        <f t="shared" si="25"/>
        <v>#REF!</v>
      </c>
      <c r="K108" s="339" t="e">
        <f t="shared" si="25"/>
        <v>#REF!</v>
      </c>
      <c r="L108" s="339" t="e">
        <f t="shared" si="25"/>
        <v>#REF!</v>
      </c>
      <c r="M108" s="339" t="e">
        <f t="shared" si="25"/>
        <v>#REF!</v>
      </c>
      <c r="N108" s="339" t="e">
        <f t="shared" si="25"/>
        <v>#REF!</v>
      </c>
      <c r="O108" s="339" t="e">
        <f t="shared" si="25"/>
        <v>#REF!</v>
      </c>
      <c r="P108" s="339" t="e">
        <f t="shared" si="25"/>
        <v>#REF!</v>
      </c>
      <c r="Q108" s="339" t="e">
        <f t="shared" si="25"/>
        <v>#REF!</v>
      </c>
      <c r="R108" s="339" t="e">
        <f t="shared" si="25"/>
        <v>#REF!</v>
      </c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</row>
    <row r="109" spans="1:33" ht="15" thickBot="1">
      <c r="A109" s="232"/>
      <c r="B109" s="346" t="s">
        <v>291</v>
      </c>
      <c r="C109" s="309" t="e">
        <f t="shared" ref="C109:R109" si="26">GWP_N2O</f>
        <v>#REF!</v>
      </c>
      <c r="D109" s="309" t="e">
        <f t="shared" si="26"/>
        <v>#REF!</v>
      </c>
      <c r="E109" s="309" t="e">
        <f t="shared" si="26"/>
        <v>#REF!</v>
      </c>
      <c r="F109" s="309" t="e">
        <f t="shared" si="26"/>
        <v>#REF!</v>
      </c>
      <c r="G109" s="309" t="e">
        <f t="shared" si="26"/>
        <v>#REF!</v>
      </c>
      <c r="H109" s="309" t="e">
        <f t="shared" si="26"/>
        <v>#REF!</v>
      </c>
      <c r="I109" s="309" t="e">
        <f t="shared" si="26"/>
        <v>#REF!</v>
      </c>
      <c r="J109" s="309" t="e">
        <f t="shared" si="26"/>
        <v>#REF!</v>
      </c>
      <c r="K109" s="309" t="e">
        <f t="shared" si="26"/>
        <v>#REF!</v>
      </c>
      <c r="L109" s="309" t="e">
        <f t="shared" si="26"/>
        <v>#REF!</v>
      </c>
      <c r="M109" s="309" t="e">
        <f t="shared" si="26"/>
        <v>#REF!</v>
      </c>
      <c r="N109" s="309" t="e">
        <f t="shared" si="26"/>
        <v>#REF!</v>
      </c>
      <c r="O109" s="309" t="e">
        <f t="shared" si="26"/>
        <v>#REF!</v>
      </c>
      <c r="P109" s="309" t="e">
        <f t="shared" si="26"/>
        <v>#REF!</v>
      </c>
      <c r="Q109" s="309" t="e">
        <f t="shared" si="26"/>
        <v>#REF!</v>
      </c>
      <c r="R109" s="309" t="e">
        <f t="shared" si="26"/>
        <v>#REF!</v>
      </c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</row>
    <row r="110" spans="1:33">
      <c r="A110" s="232"/>
      <c r="B110" s="237"/>
      <c r="C110" s="237"/>
      <c r="D110" s="305"/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</row>
    <row r="111" spans="1:33" ht="16.5" thickBot="1">
      <c r="A111" s="232"/>
      <c r="B111" s="288" t="s">
        <v>278</v>
      </c>
      <c r="C111" s="307"/>
      <c r="D111" s="307"/>
      <c r="E111" s="307"/>
      <c r="F111" s="307"/>
      <c r="G111" s="235"/>
      <c r="H111" s="235"/>
      <c r="I111" s="235"/>
      <c r="J111" s="235"/>
      <c r="K111" s="235"/>
      <c r="L111" s="235"/>
      <c r="M111" s="235"/>
      <c r="N111" s="235"/>
      <c r="O111" s="235"/>
      <c r="P111" s="235"/>
      <c r="Q111" s="235"/>
      <c r="R111" s="235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</row>
    <row r="112" spans="1:33" ht="25.5" customHeight="1">
      <c r="A112" s="232"/>
      <c r="B112" s="310" t="s">
        <v>279</v>
      </c>
      <c r="C112" s="311" t="s">
        <v>280</v>
      </c>
      <c r="D112" s="235"/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  <c r="O112" s="235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</row>
    <row r="113" spans="1:33" ht="15" customHeight="1">
      <c r="A113" s="232"/>
      <c r="B113" s="303" t="s">
        <v>4</v>
      </c>
      <c r="C113" s="347" t="e">
        <f>#REF!</f>
        <v>#REF!</v>
      </c>
      <c r="D113" s="235"/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  <c r="O113" s="235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</row>
    <row r="114" spans="1:33" ht="15" customHeight="1">
      <c r="A114" s="232"/>
      <c r="B114" s="303" t="s">
        <v>18</v>
      </c>
      <c r="C114" s="312" t="e">
        <f>#REF!</f>
        <v>#REF!</v>
      </c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</row>
    <row r="115" spans="1:33" ht="15" customHeight="1" thickBot="1">
      <c r="A115" s="232"/>
      <c r="B115" s="313" t="s">
        <v>266</v>
      </c>
      <c r="C115" s="348" t="e">
        <f>SUM(#REF!,#REF!,#REF!)</f>
        <v>#REF!</v>
      </c>
      <c r="D115" s="235"/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  <c r="O115" s="235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</row>
    <row r="116" spans="1:33">
      <c r="A116" s="232"/>
      <c r="B116" s="237"/>
      <c r="C116" s="237"/>
      <c r="D116" s="305"/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  <c r="O116" s="235"/>
      <c r="P116" s="235"/>
      <c r="Q116" s="235"/>
      <c r="R116" s="235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</row>
    <row r="117" spans="1:33" ht="24" thickBot="1">
      <c r="A117" s="232"/>
      <c r="B117" s="548" t="s">
        <v>320</v>
      </c>
      <c r="C117" s="548"/>
      <c r="D117" s="548"/>
      <c r="E117" s="548"/>
      <c r="F117" s="548"/>
      <c r="G117" s="548"/>
      <c r="H117" s="548"/>
      <c r="I117" s="548"/>
      <c r="J117" s="548"/>
      <c r="K117" s="548"/>
      <c r="L117" s="548"/>
      <c r="M117" s="548"/>
      <c r="N117" s="548"/>
      <c r="O117" s="548"/>
      <c r="P117" s="548"/>
      <c r="Q117" s="548"/>
      <c r="R117" s="548"/>
      <c r="S117" s="548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</row>
    <row r="118" spans="1:33" ht="14.25" customHeight="1">
      <c r="A118" s="316"/>
      <c r="B118" s="531" t="s">
        <v>2</v>
      </c>
      <c r="C118" s="532"/>
      <c r="D118" s="557" t="s">
        <v>282</v>
      </c>
      <c r="E118" s="558"/>
      <c r="F118" s="558"/>
      <c r="G118" s="558"/>
      <c r="H118" s="558"/>
      <c r="I118" s="558"/>
      <c r="J118" s="558"/>
      <c r="K118" s="558"/>
      <c r="L118" s="558"/>
      <c r="M118" s="558"/>
      <c r="N118" s="558"/>
      <c r="O118" s="558"/>
      <c r="P118" s="558"/>
      <c r="Q118" s="558"/>
      <c r="R118" s="558"/>
      <c r="S118" s="559"/>
      <c r="T118" s="316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</row>
    <row r="119" spans="1:33" ht="14.25" customHeight="1">
      <c r="A119" s="316"/>
      <c r="B119" s="533"/>
      <c r="C119" s="534"/>
      <c r="D119" s="538" t="s">
        <v>77</v>
      </c>
      <c r="E119" s="538" t="s">
        <v>225</v>
      </c>
      <c r="F119" s="538" t="s">
        <v>226</v>
      </c>
      <c r="G119" s="538"/>
      <c r="H119" s="538"/>
      <c r="I119" s="538"/>
      <c r="J119" s="538"/>
      <c r="K119" s="538"/>
      <c r="L119" s="538"/>
      <c r="M119" s="538"/>
      <c r="N119" s="538" t="s">
        <v>227</v>
      </c>
      <c r="O119" s="538"/>
      <c r="P119" s="538"/>
      <c r="Q119" s="538"/>
      <c r="R119" s="538"/>
      <c r="S119" s="550" t="s">
        <v>228</v>
      </c>
      <c r="T119" s="316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</row>
    <row r="120" spans="1:33" ht="26.25" thickBot="1">
      <c r="A120" s="316"/>
      <c r="B120" s="533"/>
      <c r="C120" s="534"/>
      <c r="D120" s="539"/>
      <c r="E120" s="539"/>
      <c r="F120" s="260" t="s">
        <v>80</v>
      </c>
      <c r="G120" s="260" t="s">
        <v>229</v>
      </c>
      <c r="H120" s="260" t="s">
        <v>82</v>
      </c>
      <c r="I120" s="260" t="s">
        <v>84</v>
      </c>
      <c r="J120" s="260" t="s">
        <v>85</v>
      </c>
      <c r="K120" s="260" t="s">
        <v>230</v>
      </c>
      <c r="L120" s="260" t="s">
        <v>86</v>
      </c>
      <c r="M120" s="260" t="s">
        <v>231</v>
      </c>
      <c r="N120" s="260" t="s">
        <v>232</v>
      </c>
      <c r="O120" s="260" t="s">
        <v>233</v>
      </c>
      <c r="P120" s="260" t="s">
        <v>234</v>
      </c>
      <c r="Q120" s="260" t="s">
        <v>235</v>
      </c>
      <c r="R120" s="260" t="s">
        <v>236</v>
      </c>
      <c r="S120" s="551"/>
      <c r="T120" s="316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</row>
    <row r="121" spans="1:33" ht="14.25" customHeight="1">
      <c r="A121" s="232"/>
      <c r="B121" s="317" t="s">
        <v>237</v>
      </c>
      <c r="C121" s="318"/>
      <c r="D121" s="319"/>
      <c r="E121" s="319"/>
      <c r="F121" s="319"/>
      <c r="G121" s="319"/>
      <c r="H121" s="319"/>
      <c r="I121" s="319"/>
      <c r="J121" s="319"/>
      <c r="K121" s="319"/>
      <c r="L121" s="319"/>
      <c r="M121" s="319"/>
      <c r="N121" s="319"/>
      <c r="O121" s="319"/>
      <c r="P121" s="319"/>
      <c r="Q121" s="319"/>
      <c r="R121" s="319"/>
      <c r="S121" s="320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</row>
    <row r="122" spans="1:33" ht="14.25" customHeight="1">
      <c r="A122" s="232"/>
      <c r="B122" s="321" t="s">
        <v>238</v>
      </c>
      <c r="C122" s="322"/>
      <c r="D122" s="354" t="e">
        <f>D60*C$105+D60*C$106*C$108+D60*C$107*C$109</f>
        <v>#REF!</v>
      </c>
      <c r="E122" s="354" t="e">
        <f>E60*E$105+E60*E$106*E$108+E60*E$107*E$109</f>
        <v>#REF!</v>
      </c>
      <c r="F122" s="354" t="e">
        <f t="shared" ref="F122:R122" si="27">F60*F$105+F60*F$106*F$108+F60*F$107*F$109</f>
        <v>#REF!</v>
      </c>
      <c r="G122" s="354" t="e">
        <f t="shared" si="27"/>
        <v>#REF!</v>
      </c>
      <c r="H122" s="354" t="e">
        <f t="shared" si="27"/>
        <v>#REF!</v>
      </c>
      <c r="I122" s="354" t="e">
        <f t="shared" si="27"/>
        <v>#REF!</v>
      </c>
      <c r="J122" s="354" t="e">
        <f t="shared" si="27"/>
        <v>#REF!</v>
      </c>
      <c r="K122" s="354" t="e">
        <f t="shared" si="27"/>
        <v>#REF!</v>
      </c>
      <c r="L122" s="354" t="e">
        <f t="shared" si="27"/>
        <v>#REF!</v>
      </c>
      <c r="M122" s="354" t="e">
        <f t="shared" si="27"/>
        <v>#REF!</v>
      </c>
      <c r="N122" s="354" t="e">
        <f t="shared" si="27"/>
        <v>#REF!</v>
      </c>
      <c r="O122" s="354" t="e">
        <f t="shared" si="27"/>
        <v>#REF!</v>
      </c>
      <c r="P122" s="354" t="e">
        <f t="shared" si="27"/>
        <v>#REF!</v>
      </c>
      <c r="Q122" s="354" t="e">
        <f t="shared" si="27"/>
        <v>#REF!</v>
      </c>
      <c r="R122" s="354" t="e">
        <f t="shared" si="27"/>
        <v>#REF!</v>
      </c>
      <c r="S122" s="323" t="e">
        <f>SUM(D122:R122)</f>
        <v>#REF!</v>
      </c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</row>
    <row r="123" spans="1:33" ht="14.25" customHeight="1">
      <c r="A123" s="232"/>
      <c r="B123" s="324" t="s">
        <v>239</v>
      </c>
      <c r="C123" s="325"/>
      <c r="D123" s="354" t="e">
        <f t="shared" ref="D123:D128" si="28">D61*C$105+D61*C$106*C$108+D61*C$107*C$109</f>
        <v>#REF!</v>
      </c>
      <c r="E123" s="354" t="e">
        <f t="shared" ref="E123:R125" si="29">E61*E$105+E61*E$106*E$108+E61*E$107*E$109</f>
        <v>#REF!</v>
      </c>
      <c r="F123" s="354" t="e">
        <f t="shared" si="29"/>
        <v>#REF!</v>
      </c>
      <c r="G123" s="354" t="e">
        <f t="shared" si="29"/>
        <v>#REF!</v>
      </c>
      <c r="H123" s="354" t="e">
        <f t="shared" si="29"/>
        <v>#REF!</v>
      </c>
      <c r="I123" s="354" t="e">
        <f t="shared" si="29"/>
        <v>#REF!</v>
      </c>
      <c r="J123" s="354" t="e">
        <f t="shared" si="29"/>
        <v>#REF!</v>
      </c>
      <c r="K123" s="354" t="e">
        <f t="shared" si="29"/>
        <v>#REF!</v>
      </c>
      <c r="L123" s="354" t="e">
        <f t="shared" si="29"/>
        <v>#REF!</v>
      </c>
      <c r="M123" s="354" t="e">
        <f t="shared" si="29"/>
        <v>#REF!</v>
      </c>
      <c r="N123" s="354" t="e">
        <f t="shared" si="29"/>
        <v>#REF!</v>
      </c>
      <c r="O123" s="354" t="e">
        <f t="shared" si="29"/>
        <v>#REF!</v>
      </c>
      <c r="P123" s="354" t="e">
        <f t="shared" si="29"/>
        <v>#REF!</v>
      </c>
      <c r="Q123" s="354" t="e">
        <f t="shared" si="29"/>
        <v>#REF!</v>
      </c>
      <c r="R123" s="354" t="e">
        <f t="shared" si="29"/>
        <v>#REF!</v>
      </c>
      <c r="S123" s="323" t="e">
        <f t="shared" ref="S123:S128" si="30">SUM(D123:R123)</f>
        <v>#REF!</v>
      </c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</row>
    <row r="124" spans="1:33" ht="14.25" customHeight="1">
      <c r="A124" s="232"/>
      <c r="B124" s="324" t="s">
        <v>0</v>
      </c>
      <c r="C124" s="325"/>
      <c r="D124" s="354" t="e">
        <f t="shared" si="28"/>
        <v>#REF!</v>
      </c>
      <c r="E124" s="354" t="e">
        <f t="shared" si="29"/>
        <v>#REF!</v>
      </c>
      <c r="F124" s="354" t="e">
        <f t="shared" si="29"/>
        <v>#REF!</v>
      </c>
      <c r="G124" s="354" t="e">
        <f t="shared" si="29"/>
        <v>#REF!</v>
      </c>
      <c r="H124" s="354" t="e">
        <f t="shared" si="29"/>
        <v>#REF!</v>
      </c>
      <c r="I124" s="354" t="e">
        <f t="shared" si="29"/>
        <v>#REF!</v>
      </c>
      <c r="J124" s="354" t="e">
        <f t="shared" si="29"/>
        <v>#REF!</v>
      </c>
      <c r="K124" s="354" t="e">
        <f t="shared" si="29"/>
        <v>#REF!</v>
      </c>
      <c r="L124" s="354" t="e">
        <f t="shared" si="29"/>
        <v>#REF!</v>
      </c>
      <c r="M124" s="354" t="e">
        <f t="shared" si="29"/>
        <v>#REF!</v>
      </c>
      <c r="N124" s="354" t="e">
        <f t="shared" si="29"/>
        <v>#REF!</v>
      </c>
      <c r="O124" s="354" t="e">
        <f t="shared" si="29"/>
        <v>#REF!</v>
      </c>
      <c r="P124" s="354" t="e">
        <f t="shared" si="29"/>
        <v>#REF!</v>
      </c>
      <c r="Q124" s="354" t="e">
        <f t="shared" si="29"/>
        <v>#REF!</v>
      </c>
      <c r="R124" s="354" t="e">
        <f t="shared" si="29"/>
        <v>#REF!</v>
      </c>
      <c r="S124" s="323" t="e">
        <f t="shared" si="30"/>
        <v>#REF!</v>
      </c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</row>
    <row r="125" spans="1:33" ht="14.25" customHeight="1">
      <c r="A125" s="232"/>
      <c r="B125" s="324" t="s">
        <v>42</v>
      </c>
      <c r="C125" s="325"/>
      <c r="D125" s="354" t="e">
        <f t="shared" si="28"/>
        <v>#REF!</v>
      </c>
      <c r="E125" s="354" t="e">
        <f t="shared" si="29"/>
        <v>#REF!</v>
      </c>
      <c r="F125" s="354" t="e">
        <f t="shared" si="29"/>
        <v>#REF!</v>
      </c>
      <c r="G125" s="354" t="e">
        <f t="shared" si="29"/>
        <v>#REF!</v>
      </c>
      <c r="H125" s="354" t="e">
        <f t="shared" si="29"/>
        <v>#REF!</v>
      </c>
      <c r="I125" s="354" t="e">
        <f t="shared" si="29"/>
        <v>#REF!</v>
      </c>
      <c r="J125" s="354" t="e">
        <f t="shared" si="29"/>
        <v>#REF!</v>
      </c>
      <c r="K125" s="354" t="e">
        <f t="shared" si="29"/>
        <v>#REF!</v>
      </c>
      <c r="L125" s="354" t="e">
        <f t="shared" si="29"/>
        <v>#REF!</v>
      </c>
      <c r="M125" s="354" t="e">
        <f t="shared" si="29"/>
        <v>#REF!</v>
      </c>
      <c r="N125" s="354" t="e">
        <f t="shared" si="29"/>
        <v>#REF!</v>
      </c>
      <c r="O125" s="354" t="e">
        <f t="shared" si="29"/>
        <v>#REF!</v>
      </c>
      <c r="P125" s="354" t="e">
        <f t="shared" si="29"/>
        <v>#REF!</v>
      </c>
      <c r="Q125" s="354" t="e">
        <f t="shared" si="29"/>
        <v>#REF!</v>
      </c>
      <c r="R125" s="354" t="e">
        <f t="shared" si="29"/>
        <v>#REF!</v>
      </c>
      <c r="S125" s="323" t="e">
        <f t="shared" si="30"/>
        <v>#REF!</v>
      </c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</row>
    <row r="126" spans="1:33" ht="14.25" customHeight="1">
      <c r="A126" s="232"/>
      <c r="B126" s="560" t="s">
        <v>11</v>
      </c>
      <c r="C126" s="352" t="s">
        <v>240</v>
      </c>
      <c r="D126" s="353"/>
      <c r="E126" s="353"/>
      <c r="F126" s="353"/>
      <c r="G126" s="353"/>
      <c r="H126" s="353"/>
      <c r="I126" s="353"/>
      <c r="J126" s="353"/>
      <c r="K126" s="353"/>
      <c r="L126" s="353"/>
      <c r="M126" s="353"/>
      <c r="N126" s="353"/>
      <c r="O126" s="353"/>
      <c r="P126" s="353"/>
      <c r="Q126" s="353"/>
      <c r="R126" s="353"/>
      <c r="S126" s="353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</row>
    <row r="127" spans="1:33" ht="14.25" customHeight="1">
      <c r="A127" s="232"/>
      <c r="B127" s="560"/>
      <c r="C127" s="352" t="s">
        <v>241</v>
      </c>
      <c r="D127" s="353"/>
      <c r="E127" s="353"/>
      <c r="F127" s="353"/>
      <c r="G127" s="353"/>
      <c r="H127" s="353"/>
      <c r="I127" s="353"/>
      <c r="J127" s="353"/>
      <c r="K127" s="353"/>
      <c r="L127" s="353"/>
      <c r="M127" s="353"/>
      <c r="N127" s="353"/>
      <c r="O127" s="353"/>
      <c r="P127" s="353"/>
      <c r="Q127" s="353"/>
      <c r="R127" s="353"/>
      <c r="S127" s="353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</row>
    <row r="128" spans="1:33">
      <c r="A128" s="232"/>
      <c r="B128" s="560"/>
      <c r="C128" s="272" t="s">
        <v>228</v>
      </c>
      <c r="D128" s="354" t="e">
        <f t="shared" si="28"/>
        <v>#REF!</v>
      </c>
      <c r="E128" s="354" t="e">
        <f t="shared" ref="E128:R128" si="31">E66*E$105+E66*E$106*E$108+E66*E$107*E$109</f>
        <v>#REF!</v>
      </c>
      <c r="F128" s="354" t="e">
        <f t="shared" si="31"/>
        <v>#REF!</v>
      </c>
      <c r="G128" s="354" t="e">
        <f t="shared" si="31"/>
        <v>#REF!</v>
      </c>
      <c r="H128" s="354" t="e">
        <f t="shared" si="31"/>
        <v>#REF!</v>
      </c>
      <c r="I128" s="354" t="e">
        <f t="shared" si="31"/>
        <v>#REF!</v>
      </c>
      <c r="J128" s="354" t="e">
        <f t="shared" si="31"/>
        <v>#REF!</v>
      </c>
      <c r="K128" s="354" t="e">
        <f t="shared" si="31"/>
        <v>#REF!</v>
      </c>
      <c r="L128" s="354" t="e">
        <f t="shared" si="31"/>
        <v>#REF!</v>
      </c>
      <c r="M128" s="354" t="e">
        <f t="shared" si="31"/>
        <v>#REF!</v>
      </c>
      <c r="N128" s="354" t="e">
        <f t="shared" si="31"/>
        <v>#REF!</v>
      </c>
      <c r="O128" s="354" t="e">
        <f t="shared" si="31"/>
        <v>#REF!</v>
      </c>
      <c r="P128" s="354" t="e">
        <f t="shared" si="31"/>
        <v>#REF!</v>
      </c>
      <c r="Q128" s="354" t="e">
        <f t="shared" si="31"/>
        <v>#REF!</v>
      </c>
      <c r="R128" s="354" t="e">
        <f t="shared" si="31"/>
        <v>#REF!</v>
      </c>
      <c r="S128" s="326" t="e">
        <f t="shared" si="30"/>
        <v>#REF!</v>
      </c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</row>
    <row r="129" spans="1:33">
      <c r="A129" s="232"/>
      <c r="B129" s="327" t="s">
        <v>283</v>
      </c>
      <c r="C129" s="328"/>
      <c r="D129" s="355" t="e">
        <f>SUM(D122:D125,D128)</f>
        <v>#REF!</v>
      </c>
      <c r="E129" s="355" t="e">
        <f t="shared" ref="E129:S129" si="32">SUM(E122:E125,E128)</f>
        <v>#REF!</v>
      </c>
      <c r="F129" s="355" t="e">
        <f t="shared" si="32"/>
        <v>#REF!</v>
      </c>
      <c r="G129" s="355" t="e">
        <f t="shared" si="32"/>
        <v>#REF!</v>
      </c>
      <c r="H129" s="355" t="e">
        <f t="shared" si="32"/>
        <v>#REF!</v>
      </c>
      <c r="I129" s="355" t="e">
        <f t="shared" si="32"/>
        <v>#REF!</v>
      </c>
      <c r="J129" s="355" t="e">
        <f t="shared" si="32"/>
        <v>#REF!</v>
      </c>
      <c r="K129" s="355" t="e">
        <f t="shared" si="32"/>
        <v>#REF!</v>
      </c>
      <c r="L129" s="355" t="e">
        <f t="shared" si="32"/>
        <v>#REF!</v>
      </c>
      <c r="M129" s="355" t="e">
        <f t="shared" si="32"/>
        <v>#REF!</v>
      </c>
      <c r="N129" s="355" t="e">
        <f t="shared" si="32"/>
        <v>#REF!</v>
      </c>
      <c r="O129" s="355" t="e">
        <f t="shared" si="32"/>
        <v>#REF!</v>
      </c>
      <c r="P129" s="355" t="e">
        <f t="shared" si="32"/>
        <v>#REF!</v>
      </c>
      <c r="Q129" s="355" t="e">
        <f t="shared" si="32"/>
        <v>#REF!</v>
      </c>
      <c r="R129" s="355" t="e">
        <f t="shared" si="32"/>
        <v>#REF!</v>
      </c>
      <c r="S129" s="323" t="e">
        <f t="shared" si="32"/>
        <v>#REF!</v>
      </c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</row>
    <row r="130" spans="1:33" ht="14.25" customHeight="1">
      <c r="A130" s="232"/>
      <c r="B130" s="329" t="s">
        <v>243</v>
      </c>
      <c r="C130" s="318"/>
      <c r="D130" s="330"/>
      <c r="E130" s="330"/>
      <c r="F130" s="330"/>
      <c r="G130" s="330"/>
      <c r="H130" s="330"/>
      <c r="I130" s="330"/>
      <c r="J130" s="330"/>
      <c r="K130" s="330"/>
      <c r="L130" s="330"/>
      <c r="M130" s="330"/>
      <c r="N130" s="330"/>
      <c r="O130" s="330"/>
      <c r="P130" s="330"/>
      <c r="Q130" s="330"/>
      <c r="R130" s="330"/>
      <c r="S130" s="331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</row>
    <row r="131" spans="1:33" ht="14.25" customHeight="1">
      <c r="A131" s="232"/>
      <c r="B131" s="324" t="s">
        <v>244</v>
      </c>
      <c r="C131" s="332"/>
      <c r="D131" s="354" t="e">
        <f>D69*C$105+D69*C$106*C$108+D69*C$107*C$109</f>
        <v>#REF!</v>
      </c>
      <c r="E131" s="354" t="e">
        <f t="shared" ref="E131:R133" si="33">E69*E$105+E69*E$106*E$108+E69*E$107*E$109</f>
        <v>#REF!</v>
      </c>
      <c r="F131" s="354" t="e">
        <f t="shared" si="33"/>
        <v>#REF!</v>
      </c>
      <c r="G131" s="354" t="e">
        <f t="shared" si="33"/>
        <v>#REF!</v>
      </c>
      <c r="H131" s="354" t="e">
        <f t="shared" si="33"/>
        <v>#REF!</v>
      </c>
      <c r="I131" s="354" t="e">
        <f t="shared" si="33"/>
        <v>#REF!</v>
      </c>
      <c r="J131" s="354" t="e">
        <f t="shared" si="33"/>
        <v>#REF!</v>
      </c>
      <c r="K131" s="354" t="e">
        <f t="shared" si="33"/>
        <v>#REF!</v>
      </c>
      <c r="L131" s="354" t="e">
        <f t="shared" si="33"/>
        <v>#REF!</v>
      </c>
      <c r="M131" s="354" t="e">
        <f t="shared" si="33"/>
        <v>#REF!</v>
      </c>
      <c r="N131" s="354" t="e">
        <f t="shared" si="33"/>
        <v>#REF!</v>
      </c>
      <c r="O131" s="354" t="e">
        <f t="shared" si="33"/>
        <v>#REF!</v>
      </c>
      <c r="P131" s="354" t="e">
        <f t="shared" si="33"/>
        <v>#REF!</v>
      </c>
      <c r="Q131" s="354" t="e">
        <f t="shared" si="33"/>
        <v>#REF!</v>
      </c>
      <c r="R131" s="354" t="e">
        <f t="shared" si="33"/>
        <v>#REF!</v>
      </c>
      <c r="S131" s="323" t="e">
        <f>SUM(D131:R131)</f>
        <v>#REF!</v>
      </c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</row>
    <row r="132" spans="1:33" ht="14.25" customHeight="1">
      <c r="A132" s="232"/>
      <c r="B132" s="324" t="s">
        <v>245</v>
      </c>
      <c r="C132" s="332"/>
      <c r="D132" s="354" t="e">
        <f>D70*C$105+D70*C$106*C$108+D70*C$107*C$109</f>
        <v>#REF!</v>
      </c>
      <c r="E132" s="354" t="e">
        <f t="shared" si="33"/>
        <v>#REF!</v>
      </c>
      <c r="F132" s="354" t="e">
        <f t="shared" si="33"/>
        <v>#REF!</v>
      </c>
      <c r="G132" s="354" t="e">
        <f t="shared" si="33"/>
        <v>#REF!</v>
      </c>
      <c r="H132" s="354" t="e">
        <f t="shared" si="33"/>
        <v>#REF!</v>
      </c>
      <c r="I132" s="354" t="e">
        <f t="shared" si="33"/>
        <v>#REF!</v>
      </c>
      <c r="J132" s="354" t="e">
        <f t="shared" si="33"/>
        <v>#REF!</v>
      </c>
      <c r="K132" s="354" t="e">
        <f t="shared" si="33"/>
        <v>#REF!</v>
      </c>
      <c r="L132" s="354" t="e">
        <f t="shared" si="33"/>
        <v>#REF!</v>
      </c>
      <c r="M132" s="354" t="e">
        <f t="shared" si="33"/>
        <v>#REF!</v>
      </c>
      <c r="N132" s="354" t="e">
        <f t="shared" si="33"/>
        <v>#REF!</v>
      </c>
      <c r="O132" s="354" t="e">
        <f t="shared" si="33"/>
        <v>#REF!</v>
      </c>
      <c r="P132" s="354" t="e">
        <f t="shared" si="33"/>
        <v>#REF!</v>
      </c>
      <c r="Q132" s="354" t="e">
        <f t="shared" si="33"/>
        <v>#REF!</v>
      </c>
      <c r="R132" s="354" t="e">
        <f t="shared" si="33"/>
        <v>#REF!</v>
      </c>
      <c r="S132" s="323" t="e">
        <f>SUM(D132:R132)</f>
        <v>#REF!</v>
      </c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</row>
    <row r="133" spans="1:33" ht="14.25" customHeight="1">
      <c r="A133" s="232"/>
      <c r="B133" s="324" t="s">
        <v>246</v>
      </c>
      <c r="C133" s="332"/>
      <c r="D133" s="354" t="e">
        <f>D71*C$105+D71*C$106*C$108+D71*C$107*C$109</f>
        <v>#REF!</v>
      </c>
      <c r="E133" s="354" t="e">
        <f t="shared" si="33"/>
        <v>#REF!</v>
      </c>
      <c r="F133" s="354" t="e">
        <f t="shared" si="33"/>
        <v>#REF!</v>
      </c>
      <c r="G133" s="354" t="e">
        <f t="shared" si="33"/>
        <v>#REF!</v>
      </c>
      <c r="H133" s="354" t="e">
        <f t="shared" si="33"/>
        <v>#REF!</v>
      </c>
      <c r="I133" s="354" t="e">
        <f t="shared" si="33"/>
        <v>#REF!</v>
      </c>
      <c r="J133" s="354" t="e">
        <f t="shared" si="33"/>
        <v>#REF!</v>
      </c>
      <c r="K133" s="354" t="e">
        <f t="shared" si="33"/>
        <v>#REF!</v>
      </c>
      <c r="L133" s="354" t="e">
        <f t="shared" si="33"/>
        <v>#REF!</v>
      </c>
      <c r="M133" s="354" t="e">
        <f t="shared" si="33"/>
        <v>#REF!</v>
      </c>
      <c r="N133" s="354" t="e">
        <f t="shared" si="33"/>
        <v>#REF!</v>
      </c>
      <c r="O133" s="354" t="e">
        <f t="shared" si="33"/>
        <v>#REF!</v>
      </c>
      <c r="P133" s="354" t="e">
        <f t="shared" si="33"/>
        <v>#REF!</v>
      </c>
      <c r="Q133" s="354" t="e">
        <f t="shared" si="33"/>
        <v>#REF!</v>
      </c>
      <c r="R133" s="354" t="e">
        <f t="shared" si="33"/>
        <v>#REF!</v>
      </c>
      <c r="S133" s="323" t="e">
        <f>SUM(D133:R133)</f>
        <v>#REF!</v>
      </c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</row>
    <row r="134" spans="1:33">
      <c r="A134" s="232"/>
      <c r="B134" s="327" t="s">
        <v>283</v>
      </c>
      <c r="C134" s="328"/>
      <c r="D134" s="355" t="e">
        <f>SUM(D131:D133)</f>
        <v>#REF!</v>
      </c>
      <c r="E134" s="355" t="e">
        <f t="shared" ref="E134:R134" si="34">SUM(E131:E133)</f>
        <v>#REF!</v>
      </c>
      <c r="F134" s="355" t="e">
        <f t="shared" si="34"/>
        <v>#REF!</v>
      </c>
      <c r="G134" s="355" t="e">
        <f t="shared" si="34"/>
        <v>#REF!</v>
      </c>
      <c r="H134" s="355" t="e">
        <f t="shared" si="34"/>
        <v>#REF!</v>
      </c>
      <c r="I134" s="355" t="e">
        <f t="shared" si="34"/>
        <v>#REF!</v>
      </c>
      <c r="J134" s="355" t="e">
        <f t="shared" si="34"/>
        <v>#REF!</v>
      </c>
      <c r="K134" s="355" t="e">
        <f t="shared" si="34"/>
        <v>#REF!</v>
      </c>
      <c r="L134" s="355" t="e">
        <f t="shared" si="34"/>
        <v>#REF!</v>
      </c>
      <c r="M134" s="355" t="e">
        <f t="shared" si="34"/>
        <v>#REF!</v>
      </c>
      <c r="N134" s="355" t="e">
        <f t="shared" si="34"/>
        <v>#REF!</v>
      </c>
      <c r="O134" s="355" t="e">
        <f t="shared" si="34"/>
        <v>#REF!</v>
      </c>
      <c r="P134" s="355" t="e">
        <f t="shared" si="34"/>
        <v>#REF!</v>
      </c>
      <c r="Q134" s="355" t="e">
        <f t="shared" si="34"/>
        <v>#REF!</v>
      </c>
      <c r="R134" s="355" t="e">
        <f t="shared" si="34"/>
        <v>#REF!</v>
      </c>
      <c r="S134" s="323" t="e">
        <f>SUM(S131:S133)</f>
        <v>#REF!</v>
      </c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</row>
    <row r="135" spans="1:33">
      <c r="A135" s="232"/>
      <c r="B135" s="329" t="s">
        <v>284</v>
      </c>
      <c r="C135" s="318"/>
      <c r="D135" s="330"/>
      <c r="E135" s="330"/>
      <c r="F135" s="330"/>
      <c r="G135" s="330"/>
      <c r="H135" s="330"/>
      <c r="I135" s="330"/>
      <c r="J135" s="330"/>
      <c r="K135" s="330"/>
      <c r="L135" s="330"/>
      <c r="M135" s="330"/>
      <c r="N135" s="330"/>
      <c r="O135" s="330"/>
      <c r="P135" s="330"/>
      <c r="Q135" s="330"/>
      <c r="R135" s="330"/>
      <c r="S135" s="331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</row>
    <row r="136" spans="1:33" ht="14.25" customHeight="1">
      <c r="A136" s="232"/>
      <c r="B136" s="324" t="s">
        <v>249</v>
      </c>
      <c r="C136" s="332"/>
      <c r="D136" s="354" t="e">
        <f>D74*C$105+D74*C$106*C$108+D74*C$107*C$109</f>
        <v>#REF!</v>
      </c>
      <c r="E136" s="354" t="e">
        <f t="shared" ref="E136:R136" si="35">E74*E$105+E74*E$106*E$108+E74*E$107*E$109</f>
        <v>#REF!</v>
      </c>
      <c r="F136" s="354" t="e">
        <f t="shared" si="35"/>
        <v>#REF!</v>
      </c>
      <c r="G136" s="354" t="e">
        <f t="shared" si="35"/>
        <v>#REF!</v>
      </c>
      <c r="H136" s="354" t="e">
        <f t="shared" si="35"/>
        <v>#REF!</v>
      </c>
      <c r="I136" s="354" t="e">
        <f t="shared" si="35"/>
        <v>#REF!</v>
      </c>
      <c r="J136" s="354" t="e">
        <f t="shared" si="35"/>
        <v>#REF!</v>
      </c>
      <c r="K136" s="354" t="e">
        <f t="shared" si="35"/>
        <v>#REF!</v>
      </c>
      <c r="L136" s="354" t="e">
        <f t="shared" si="35"/>
        <v>#REF!</v>
      </c>
      <c r="M136" s="354" t="e">
        <f t="shared" si="35"/>
        <v>#REF!</v>
      </c>
      <c r="N136" s="354" t="e">
        <f t="shared" si="35"/>
        <v>#REF!</v>
      </c>
      <c r="O136" s="354" t="e">
        <f t="shared" si="35"/>
        <v>#REF!</v>
      </c>
      <c r="P136" s="354" t="e">
        <f t="shared" si="35"/>
        <v>#REF!</v>
      </c>
      <c r="Q136" s="354" t="e">
        <f t="shared" si="35"/>
        <v>#REF!</v>
      </c>
      <c r="R136" s="354" t="e">
        <f t="shared" si="35"/>
        <v>#REF!</v>
      </c>
      <c r="S136" s="323" t="e">
        <f>SUM(D136:R136)</f>
        <v>#REF!</v>
      </c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</row>
    <row r="137" spans="1:33">
      <c r="A137" s="232"/>
      <c r="B137" s="317" t="s">
        <v>285</v>
      </c>
      <c r="C137" s="333"/>
      <c r="D137" s="330"/>
      <c r="E137" s="330"/>
      <c r="F137" s="330"/>
      <c r="G137" s="330"/>
      <c r="H137" s="330"/>
      <c r="I137" s="330"/>
      <c r="J137" s="330"/>
      <c r="K137" s="330"/>
      <c r="L137" s="330"/>
      <c r="M137" s="330"/>
      <c r="N137" s="330"/>
      <c r="O137" s="330"/>
      <c r="P137" s="330"/>
      <c r="Q137" s="330"/>
      <c r="R137" s="330"/>
      <c r="S137" s="331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</row>
    <row r="138" spans="1:33">
      <c r="A138" s="232"/>
      <c r="B138" s="341" t="s">
        <v>4</v>
      </c>
      <c r="C138" s="342"/>
      <c r="D138" s="356"/>
      <c r="E138" s="357"/>
      <c r="F138" s="357"/>
      <c r="G138" s="357"/>
      <c r="H138" s="357"/>
      <c r="I138" s="357"/>
      <c r="J138" s="357"/>
      <c r="K138" s="357"/>
      <c r="L138" s="357"/>
      <c r="M138" s="357"/>
      <c r="N138" s="357"/>
      <c r="O138" s="357"/>
      <c r="P138" s="357"/>
      <c r="Q138" s="357"/>
      <c r="R138" s="358"/>
      <c r="S138" s="323" t="e">
        <f>C113</f>
        <v>#REF!</v>
      </c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</row>
    <row r="139" spans="1:33">
      <c r="A139" s="232"/>
      <c r="B139" s="341" t="s">
        <v>18</v>
      </c>
      <c r="C139" s="342"/>
      <c r="D139" s="359"/>
      <c r="E139" s="360"/>
      <c r="F139" s="360"/>
      <c r="G139" s="360"/>
      <c r="H139" s="360"/>
      <c r="I139" s="360"/>
      <c r="J139" s="360"/>
      <c r="K139" s="360"/>
      <c r="L139" s="360"/>
      <c r="M139" s="360"/>
      <c r="N139" s="360"/>
      <c r="O139" s="360"/>
      <c r="P139" s="360"/>
      <c r="Q139" s="360"/>
      <c r="R139" s="361"/>
      <c r="S139" s="323" t="e">
        <f>C114</f>
        <v>#REF!</v>
      </c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</row>
    <row r="140" spans="1:33" ht="14.25" customHeight="1">
      <c r="A140" s="232"/>
      <c r="B140" s="341" t="s">
        <v>266</v>
      </c>
      <c r="C140" s="343"/>
      <c r="D140" s="362"/>
      <c r="E140" s="363"/>
      <c r="F140" s="363"/>
      <c r="G140" s="363"/>
      <c r="H140" s="363"/>
      <c r="I140" s="363"/>
      <c r="J140" s="363"/>
      <c r="K140" s="363"/>
      <c r="L140" s="363"/>
      <c r="M140" s="363"/>
      <c r="N140" s="363"/>
      <c r="O140" s="363"/>
      <c r="P140" s="363"/>
      <c r="Q140" s="363"/>
      <c r="R140" s="364"/>
      <c r="S140" s="323" t="e">
        <f>C115</f>
        <v>#REF!</v>
      </c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</row>
    <row r="141" spans="1:33" ht="13.5" thickBot="1">
      <c r="A141" s="232"/>
      <c r="B141" s="334" t="s">
        <v>250</v>
      </c>
      <c r="C141" s="335"/>
      <c r="D141" s="369" t="e">
        <f>D129+D134+D136</f>
        <v>#REF!</v>
      </c>
      <c r="E141" s="369" t="e">
        <f>E129+E134+E136</f>
        <v>#REF!</v>
      </c>
      <c r="F141" s="369" t="e">
        <f t="shared" ref="F141:R141" si="36">F129+F134+F136</f>
        <v>#REF!</v>
      </c>
      <c r="G141" s="369" t="e">
        <f t="shared" si="36"/>
        <v>#REF!</v>
      </c>
      <c r="H141" s="369" t="e">
        <f t="shared" si="36"/>
        <v>#REF!</v>
      </c>
      <c r="I141" s="369" t="e">
        <f t="shared" si="36"/>
        <v>#REF!</v>
      </c>
      <c r="J141" s="369" t="e">
        <f t="shared" si="36"/>
        <v>#REF!</v>
      </c>
      <c r="K141" s="369" t="e">
        <f t="shared" si="36"/>
        <v>#REF!</v>
      </c>
      <c r="L141" s="369" t="e">
        <f t="shared" si="36"/>
        <v>#REF!</v>
      </c>
      <c r="M141" s="369" t="e">
        <f t="shared" si="36"/>
        <v>#REF!</v>
      </c>
      <c r="N141" s="369" t="e">
        <f t="shared" si="36"/>
        <v>#REF!</v>
      </c>
      <c r="O141" s="369" t="e">
        <f t="shared" si="36"/>
        <v>#REF!</v>
      </c>
      <c r="P141" s="369" t="e">
        <f t="shared" si="36"/>
        <v>#REF!</v>
      </c>
      <c r="Q141" s="369" t="e">
        <f t="shared" si="36"/>
        <v>#REF!</v>
      </c>
      <c r="R141" s="369" t="e">
        <f t="shared" si="36"/>
        <v>#REF!</v>
      </c>
      <c r="S141" s="370" t="e">
        <f>SUM(S129,S134,S136,S138:S140)</f>
        <v>#REF!</v>
      </c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</row>
    <row r="142" spans="1:33" s="232" customFormat="1" ht="13.5" thickBot="1">
      <c r="B142" s="417" t="s">
        <v>328</v>
      </c>
      <c r="C142" s="418">
        <f>SUM_SEAP!E3</f>
        <v>2021</v>
      </c>
      <c r="D142" s="415">
        <f>IFERROR(D141/SUM_SEAP!D96,)</f>
        <v>0</v>
      </c>
      <c r="E142" s="415">
        <f>IFERROR(E141/SUM_SEAP!E96,)</f>
        <v>0</v>
      </c>
      <c r="F142" s="415">
        <f>IFERROR(F141/SUM_SEAP!F96,)</f>
        <v>0</v>
      </c>
      <c r="G142" s="415">
        <f>IFERROR(G141/SUM_SEAP!G96,)</f>
        <v>0</v>
      </c>
      <c r="H142" s="415">
        <f>IFERROR(H141/SUM_SEAP!H96,)</f>
        <v>0</v>
      </c>
      <c r="I142" s="415">
        <f>IFERROR(I141/SUM_SEAP!I96,)</f>
        <v>0</v>
      </c>
      <c r="J142" s="415">
        <f>IFERROR(J141/SUM_SEAP!J96,)</f>
        <v>0</v>
      </c>
      <c r="K142" s="415">
        <f>IFERROR(K141/SUM_SEAP!K96,)</f>
        <v>0</v>
      </c>
      <c r="L142" s="415">
        <f>IFERROR(L141/SUM_SEAP!L96,)</f>
        <v>0</v>
      </c>
      <c r="M142" s="415">
        <f>IFERROR(M141/SUM_SEAP!M96,)</f>
        <v>0</v>
      </c>
      <c r="N142" s="415">
        <f>IFERROR(N141/SUM_SEAP!N96,)</f>
        <v>0</v>
      </c>
      <c r="O142" s="415">
        <f>IFERROR(O141/SUM_SEAP!O96,)</f>
        <v>0</v>
      </c>
      <c r="P142" s="415">
        <f>IFERROR(P141/SUM_SEAP!P96,)</f>
        <v>0</v>
      </c>
      <c r="Q142" s="415">
        <f>IFERROR(Q141/SUM_SEAP!Q96,)</f>
        <v>0</v>
      </c>
      <c r="R142" s="415">
        <f>IFERROR(R141/SUM_SEAP!R96,)</f>
        <v>0</v>
      </c>
      <c r="S142" s="416">
        <f>IFERROR(S141/SUM_SEAP!S96,)</f>
        <v>0</v>
      </c>
    </row>
    <row r="143" spans="1:33" s="232" customFormat="1"/>
    <row r="144" spans="1:33" s="232" customFormat="1"/>
    <row r="145" spans="1:33" s="232" customFormat="1"/>
    <row r="146" spans="1:33" s="232" customFormat="1"/>
    <row r="147" spans="1:33" s="232" customFormat="1"/>
    <row r="148" spans="1:33" s="232" customFormat="1"/>
    <row r="149" spans="1:33" s="232" customFormat="1"/>
    <row r="150" spans="1:33" s="232" customFormat="1"/>
    <row r="151" spans="1:33" s="232" customFormat="1"/>
    <row r="152" spans="1:33" s="232" customFormat="1"/>
    <row r="153" spans="1:33">
      <c r="A153" s="232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</row>
    <row r="154" spans="1:33">
      <c r="A154" s="232"/>
      <c r="B154" s="232"/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</row>
    <row r="155" spans="1:33">
      <c r="A155" s="232"/>
      <c r="B155" s="232"/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</row>
    <row r="156" spans="1:33">
      <c r="A156" s="232"/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</row>
    <row r="157" spans="1:33">
      <c r="A157" s="232"/>
      <c r="B157" s="232"/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</row>
    <row r="158" spans="1:33">
      <c r="A158" s="232"/>
      <c r="B158" s="232"/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</row>
    <row r="159" spans="1:33">
      <c r="A159" s="232"/>
      <c r="B159" s="232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</row>
    <row r="160" spans="1:33">
      <c r="A160" s="232"/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</row>
    <row r="161" spans="1:33">
      <c r="A161" s="232"/>
      <c r="B161" s="232"/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</row>
    <row r="162" spans="1:33">
      <c r="A162" s="232"/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</row>
    <row r="163" spans="1:33">
      <c r="A163" s="232"/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</row>
    <row r="164" spans="1:33">
      <c r="A164" s="232"/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</row>
    <row r="165" spans="1:33">
      <c r="A165" s="232"/>
      <c r="B165" s="232"/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</row>
    <row r="166" spans="1:33">
      <c r="A166" s="232"/>
      <c r="B166" s="232"/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</row>
    <row r="167" spans="1:33">
      <c r="A167" s="232"/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</row>
    <row r="168" spans="1:33">
      <c r="A168" s="232"/>
      <c r="B168" s="232"/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</row>
    <row r="169" spans="1:33">
      <c r="A169" s="232"/>
      <c r="B169" s="232"/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</row>
    <row r="170" spans="1:33">
      <c r="A170" s="232"/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</row>
    <row r="171" spans="1:33">
      <c r="A171" s="232"/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</row>
    <row r="172" spans="1:33">
      <c r="A172" s="232"/>
      <c r="B172" s="232"/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</row>
    <row r="173" spans="1:33">
      <c r="A173" s="232"/>
      <c r="B173" s="232"/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</row>
    <row r="174" spans="1:33">
      <c r="A174" s="232"/>
      <c r="B174" s="232"/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</row>
    <row r="175" spans="1:33">
      <c r="A175" s="232"/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</row>
    <row r="176" spans="1:33">
      <c r="A176" s="232"/>
      <c r="B176" s="232"/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</row>
    <row r="177" spans="1:33">
      <c r="A177" s="232"/>
      <c r="B177" s="232"/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</row>
    <row r="178" spans="1:33">
      <c r="A178" s="232"/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</row>
    <row r="179" spans="1:33">
      <c r="A179" s="232"/>
      <c r="B179" s="232"/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</row>
    <row r="180" spans="1:33">
      <c r="A180" s="232"/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</row>
    <row r="181" spans="1:33">
      <c r="A181" s="232"/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</row>
    <row r="182" spans="1:33">
      <c r="A182" s="232"/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</row>
    <row r="183" spans="1:33">
      <c r="A183" s="232"/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</row>
    <row r="184" spans="1:33">
      <c r="A184" s="232"/>
      <c r="B184" s="232"/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</row>
    <row r="185" spans="1:33">
      <c r="A185" s="232"/>
      <c r="B185" s="232"/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</row>
    <row r="186" spans="1:33">
      <c r="A186" s="232"/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</row>
    <row r="187" spans="1:33">
      <c r="A187" s="232"/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</row>
    <row r="188" spans="1:33">
      <c r="A188" s="232"/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</row>
    <row r="189" spans="1:33">
      <c r="A189" s="232"/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</row>
    <row r="190" spans="1:33">
      <c r="A190" s="232"/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</row>
    <row r="191" spans="1:33">
      <c r="A191" s="232"/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</row>
    <row r="192" spans="1:33">
      <c r="A192" s="232"/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</row>
    <row r="193" spans="1:33">
      <c r="A193" s="232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</row>
    <row r="194" spans="1:33">
      <c r="A194" s="232"/>
      <c r="B194" s="232"/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</row>
    <row r="195" spans="1:33">
      <c r="A195" s="232"/>
      <c r="B195" s="232"/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</row>
    <row r="196" spans="1:33">
      <c r="A196" s="232"/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</row>
    <row r="197" spans="1:33">
      <c r="A197" s="232"/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</row>
    <row r="198" spans="1:33">
      <c r="A198" s="232"/>
      <c r="B198" s="232"/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</row>
    <row r="199" spans="1:33">
      <c r="A199" s="232"/>
      <c r="B199" s="232"/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</row>
    <row r="200" spans="1:33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</row>
    <row r="201" spans="1:33">
      <c r="A201" s="232"/>
      <c r="B201" s="232"/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</row>
    <row r="202" spans="1:33">
      <c r="A202" s="232"/>
      <c r="B202" s="232"/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</row>
    <row r="203" spans="1:33">
      <c r="A203" s="232"/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</row>
    <row r="204" spans="1:33">
      <c r="A204" s="232"/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</row>
    <row r="205" spans="1:33">
      <c r="A205" s="232"/>
      <c r="B205" s="232"/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</row>
    <row r="206" spans="1:33">
      <c r="A206" s="232"/>
      <c r="B206" s="232"/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</row>
    <row r="207" spans="1:33">
      <c r="A207" s="232"/>
      <c r="B207" s="232"/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</row>
    <row r="208" spans="1:33">
      <c r="A208" s="232"/>
      <c r="B208" s="232"/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</row>
    <row r="209" spans="1:33">
      <c r="A209" s="232"/>
      <c r="B209" s="232"/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</row>
    <row r="210" spans="1:33">
      <c r="A210" s="232"/>
      <c r="B210" s="232"/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</row>
    <row r="211" spans="1:33">
      <c r="A211" s="232"/>
      <c r="B211" s="232"/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</row>
    <row r="212" spans="1:33">
      <c r="A212" s="232"/>
      <c r="B212" s="232"/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</row>
    <row r="213" spans="1:33">
      <c r="A213" s="232"/>
      <c r="B213" s="232"/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</row>
    <row r="214" spans="1:33">
      <c r="A214" s="232"/>
      <c r="B214" s="232"/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</row>
    <row r="215" spans="1:33">
      <c r="A215" s="232"/>
      <c r="B215" s="232"/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</row>
    <row r="216" spans="1:33">
      <c r="A216" s="232"/>
      <c r="B216" s="232"/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</row>
    <row r="217" spans="1:33">
      <c r="A217" s="232"/>
      <c r="B217" s="232"/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</row>
    <row r="218" spans="1:33">
      <c r="A218" s="232"/>
      <c r="B218" s="232"/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</row>
    <row r="219" spans="1:33">
      <c r="A219" s="232"/>
      <c r="B219" s="232"/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</row>
    <row r="220" spans="1:33">
      <c r="A220" s="232"/>
      <c r="B220" s="232"/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</row>
    <row r="221" spans="1:33">
      <c r="A221" s="232"/>
      <c r="B221" s="232"/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</row>
    <row r="222" spans="1:33">
      <c r="A222" s="232"/>
      <c r="B222" s="232"/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</row>
    <row r="223" spans="1:33">
      <c r="A223" s="232"/>
      <c r="B223" s="232"/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</row>
    <row r="224" spans="1:33">
      <c r="A224" s="232"/>
      <c r="B224" s="232"/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</row>
    <row r="225" spans="1:33">
      <c r="A225" s="232"/>
      <c r="B225" s="232"/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</row>
    <row r="226" spans="1:33">
      <c r="A226" s="232"/>
      <c r="B226" s="232"/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</row>
    <row r="227" spans="1:33">
      <c r="A227" s="232"/>
      <c r="B227" s="232"/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</row>
    <row r="228" spans="1:33">
      <c r="A228" s="232"/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</row>
    <row r="229" spans="1:33">
      <c r="A229" s="232"/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  <c r="AG229" s="232"/>
    </row>
    <row r="230" spans="1:33">
      <c r="A230" s="232"/>
      <c r="B230" s="232"/>
      <c r="C230" s="232"/>
      <c r="D230" s="232"/>
      <c r="E230" s="232"/>
      <c r="F230" s="232"/>
      <c r="G230" s="232"/>
      <c r="H230" s="232"/>
      <c r="I230" s="232"/>
      <c r="J230" s="232"/>
      <c r="K230" s="232"/>
      <c r="L230" s="232"/>
      <c r="M230" s="232"/>
      <c r="N230" s="232"/>
      <c r="O230" s="232"/>
      <c r="P230" s="232"/>
      <c r="Q230" s="232"/>
      <c r="R230" s="232"/>
      <c r="S230" s="232"/>
      <c r="T230" s="232"/>
      <c r="U230" s="232"/>
      <c r="V230" s="232"/>
      <c r="W230" s="232"/>
      <c r="X230" s="232"/>
      <c r="Y230" s="232"/>
      <c r="Z230" s="232"/>
      <c r="AA230" s="232"/>
      <c r="AB230" s="232"/>
      <c r="AC230" s="232"/>
      <c r="AD230" s="232"/>
      <c r="AE230" s="232"/>
      <c r="AF230" s="232"/>
      <c r="AG230" s="232"/>
    </row>
    <row r="231" spans="1:33">
      <c r="A231" s="232"/>
      <c r="B231" s="232"/>
      <c r="C231" s="232"/>
      <c r="D231" s="232"/>
      <c r="E231" s="232"/>
      <c r="F231" s="232"/>
      <c r="G231" s="232"/>
      <c r="H231" s="232"/>
      <c r="I231" s="232"/>
      <c r="J231" s="232"/>
      <c r="K231" s="232"/>
      <c r="L231" s="232"/>
      <c r="M231" s="232"/>
      <c r="N231" s="232"/>
      <c r="O231" s="232"/>
      <c r="P231" s="232"/>
      <c r="Q231" s="232"/>
      <c r="R231" s="232"/>
      <c r="S231" s="232"/>
      <c r="T231" s="232"/>
      <c r="U231" s="232"/>
      <c r="V231" s="232"/>
      <c r="W231" s="232"/>
      <c r="X231" s="232"/>
      <c r="Y231" s="232"/>
      <c r="Z231" s="232"/>
      <c r="AA231" s="232"/>
      <c r="AB231" s="232"/>
      <c r="AC231" s="232"/>
      <c r="AD231" s="232"/>
      <c r="AE231" s="232"/>
      <c r="AF231" s="232"/>
      <c r="AG231" s="232"/>
    </row>
    <row r="232" spans="1:33">
      <c r="A232" s="232"/>
      <c r="B232" s="232"/>
      <c r="C232" s="232"/>
      <c r="D232" s="232"/>
      <c r="E232" s="232"/>
      <c r="F232" s="232"/>
      <c r="G232" s="232"/>
      <c r="H232" s="232"/>
      <c r="I232" s="232"/>
      <c r="J232" s="232"/>
      <c r="K232" s="232"/>
      <c r="L232" s="232"/>
      <c r="M232" s="232"/>
      <c r="N232" s="232"/>
      <c r="O232" s="232"/>
      <c r="P232" s="232"/>
      <c r="Q232" s="232"/>
      <c r="R232" s="232"/>
      <c r="S232" s="232"/>
      <c r="T232" s="232"/>
      <c r="U232" s="232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  <c r="AF232" s="232"/>
      <c r="AG232" s="232"/>
    </row>
    <row r="233" spans="1:33">
      <c r="A233" s="232"/>
      <c r="B233" s="232"/>
      <c r="C233" s="232"/>
      <c r="D233" s="232"/>
      <c r="E233" s="232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  <c r="P233" s="232"/>
      <c r="Q233" s="232"/>
      <c r="R233" s="232"/>
      <c r="S233" s="232"/>
      <c r="T233" s="232"/>
      <c r="U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  <c r="AF233" s="232"/>
      <c r="AG233" s="232"/>
    </row>
    <row r="234" spans="1:33">
      <c r="A234" s="232"/>
      <c r="B234" s="232"/>
      <c r="C234" s="232"/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U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232"/>
      <c r="AG234" s="232"/>
    </row>
    <row r="235" spans="1:33">
      <c r="A235" s="232"/>
      <c r="B235" s="232"/>
      <c r="C235" s="232"/>
      <c r="D235" s="232"/>
      <c r="E235" s="232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U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F235" s="232"/>
      <c r="AG235" s="232"/>
    </row>
    <row r="236" spans="1:33">
      <c r="A236" s="232"/>
      <c r="B236" s="232"/>
      <c r="C236" s="232"/>
      <c r="D236" s="232"/>
      <c r="E236" s="232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U236" s="232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  <c r="AF236" s="232"/>
      <c r="AG236" s="232"/>
    </row>
    <row r="237" spans="1:33">
      <c r="A237" s="232"/>
      <c r="B237" s="232"/>
      <c r="C237" s="232"/>
      <c r="D237" s="232"/>
      <c r="E237" s="232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U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232"/>
      <c r="AG237" s="232"/>
    </row>
    <row r="238" spans="1:33">
      <c r="A238" s="232"/>
      <c r="B238" s="232"/>
      <c r="C238" s="232"/>
      <c r="D238" s="232"/>
      <c r="E238" s="232"/>
      <c r="F238" s="232"/>
      <c r="G238" s="232"/>
      <c r="H238" s="232"/>
      <c r="I238" s="232"/>
      <c r="J238" s="232"/>
      <c r="K238" s="232"/>
      <c r="L238" s="232"/>
      <c r="M238" s="232"/>
      <c r="N238" s="232"/>
      <c r="O238" s="232"/>
      <c r="P238" s="232"/>
      <c r="Q238" s="232"/>
      <c r="R238" s="232"/>
      <c r="S238" s="232"/>
      <c r="T238" s="232"/>
      <c r="U238" s="232"/>
      <c r="V238" s="232"/>
      <c r="W238" s="232"/>
      <c r="X238" s="232"/>
      <c r="Y238" s="232"/>
      <c r="Z238" s="232"/>
      <c r="AA238" s="232"/>
      <c r="AB238" s="232"/>
      <c r="AC238" s="232"/>
      <c r="AD238" s="232"/>
      <c r="AE238" s="232"/>
      <c r="AF238" s="232"/>
      <c r="AG238" s="232"/>
    </row>
    <row r="239" spans="1:33">
      <c r="A239" s="232"/>
      <c r="B239" s="232"/>
      <c r="C239" s="232"/>
      <c r="D239" s="232"/>
      <c r="E239" s="232"/>
      <c r="F239" s="232"/>
      <c r="G239" s="232"/>
      <c r="H239" s="232"/>
      <c r="I239" s="232"/>
      <c r="J239" s="232"/>
      <c r="K239" s="232"/>
      <c r="L239" s="232"/>
      <c r="M239" s="232"/>
      <c r="N239" s="232"/>
      <c r="O239" s="232"/>
      <c r="P239" s="232"/>
      <c r="Q239" s="232"/>
      <c r="R239" s="232"/>
      <c r="S239" s="232"/>
      <c r="T239" s="232"/>
      <c r="U239" s="232"/>
      <c r="V239" s="232"/>
      <c r="W239" s="232"/>
      <c r="X239" s="232"/>
      <c r="Y239" s="232"/>
      <c r="Z239" s="232"/>
      <c r="AA239" s="232"/>
      <c r="AB239" s="232"/>
      <c r="AC239" s="232"/>
      <c r="AD239" s="232"/>
      <c r="AE239" s="232"/>
      <c r="AF239" s="232"/>
      <c r="AG239" s="232"/>
    </row>
    <row r="240" spans="1:33">
      <c r="A240" s="232"/>
      <c r="B240" s="232"/>
      <c r="C240" s="232"/>
      <c r="D240" s="232"/>
      <c r="E240" s="232"/>
      <c r="F240" s="232"/>
      <c r="G240" s="232"/>
      <c r="H240" s="232"/>
      <c r="I240" s="232"/>
      <c r="J240" s="232"/>
      <c r="K240" s="232"/>
      <c r="L240" s="232"/>
      <c r="M240" s="232"/>
      <c r="N240" s="232"/>
      <c r="O240" s="232"/>
      <c r="P240" s="232"/>
      <c r="Q240" s="232"/>
      <c r="R240" s="232"/>
      <c r="S240" s="232"/>
      <c r="T240" s="232"/>
      <c r="U240" s="232"/>
      <c r="V240" s="232"/>
      <c r="W240" s="232"/>
      <c r="X240" s="232"/>
      <c r="Y240" s="232"/>
      <c r="Z240" s="232"/>
      <c r="AA240" s="232"/>
      <c r="AB240" s="232"/>
      <c r="AC240" s="232"/>
      <c r="AD240" s="232"/>
      <c r="AE240" s="232"/>
      <c r="AF240" s="232"/>
      <c r="AG240" s="232"/>
    </row>
    <row r="241" spans="1:33">
      <c r="A241" s="232"/>
      <c r="B241" s="232"/>
      <c r="C241" s="232"/>
      <c r="D241" s="232"/>
      <c r="E241" s="232"/>
      <c r="F241" s="232"/>
      <c r="G241" s="232"/>
      <c r="H241" s="232"/>
      <c r="I241" s="232"/>
      <c r="J241" s="232"/>
      <c r="K241" s="232"/>
      <c r="L241" s="232"/>
      <c r="M241" s="232"/>
      <c r="N241" s="232"/>
      <c r="O241" s="232"/>
      <c r="P241" s="232"/>
      <c r="Q241" s="232"/>
      <c r="R241" s="232"/>
      <c r="S241" s="232"/>
      <c r="T241" s="232"/>
      <c r="U241" s="232"/>
      <c r="V241" s="232"/>
      <c r="W241" s="232"/>
      <c r="X241" s="232"/>
      <c r="Y241" s="232"/>
      <c r="Z241" s="232"/>
      <c r="AA241" s="232"/>
      <c r="AB241" s="232"/>
      <c r="AC241" s="232"/>
      <c r="AD241" s="232"/>
      <c r="AE241" s="232"/>
      <c r="AF241" s="232"/>
      <c r="AG241" s="232"/>
    </row>
    <row r="242" spans="1:33">
      <c r="A242" s="232"/>
      <c r="B242" s="232"/>
      <c r="C242" s="232"/>
      <c r="D242" s="232"/>
      <c r="E242" s="232"/>
      <c r="F242" s="232"/>
      <c r="G242" s="232"/>
      <c r="H242" s="232"/>
      <c r="I242" s="232"/>
      <c r="J242" s="232"/>
      <c r="K242" s="232"/>
      <c r="L242" s="232"/>
      <c r="M242" s="232"/>
      <c r="N242" s="232"/>
      <c r="O242" s="232"/>
      <c r="P242" s="232"/>
      <c r="Q242" s="232"/>
      <c r="R242" s="232"/>
      <c r="S242" s="232"/>
      <c r="T242" s="232"/>
      <c r="U242" s="232"/>
      <c r="V242" s="232"/>
      <c r="W242" s="232"/>
      <c r="X242" s="232"/>
      <c r="Y242" s="232"/>
      <c r="Z242" s="232"/>
      <c r="AA242" s="232"/>
      <c r="AB242" s="232"/>
      <c r="AC242" s="232"/>
      <c r="AD242" s="232"/>
      <c r="AE242" s="232"/>
      <c r="AF242" s="232"/>
      <c r="AG242" s="232"/>
    </row>
    <row r="243" spans="1:33">
      <c r="A243" s="232"/>
      <c r="B243" s="232"/>
      <c r="C243" s="232"/>
      <c r="D243" s="232"/>
      <c r="E243" s="232"/>
      <c r="F243" s="232"/>
      <c r="G243" s="232"/>
      <c r="H243" s="232"/>
      <c r="I243" s="232"/>
      <c r="J243" s="232"/>
      <c r="K243" s="232"/>
      <c r="L243" s="232"/>
      <c r="M243" s="232"/>
      <c r="N243" s="232"/>
      <c r="O243" s="232"/>
      <c r="P243" s="232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  <c r="AA243" s="232"/>
      <c r="AB243" s="232"/>
      <c r="AC243" s="232"/>
      <c r="AD243" s="232"/>
      <c r="AE243" s="232"/>
      <c r="AF243" s="232"/>
      <c r="AG243" s="232"/>
    </row>
    <row r="244" spans="1:33">
      <c r="A244" s="232"/>
      <c r="B244" s="232"/>
      <c r="C244" s="232"/>
      <c r="D244" s="232"/>
      <c r="E244" s="232"/>
      <c r="F244" s="232"/>
      <c r="G244" s="232"/>
      <c r="H244" s="232"/>
      <c r="I244" s="232"/>
      <c r="J244" s="232"/>
      <c r="K244" s="232"/>
      <c r="L244" s="232"/>
      <c r="M244" s="232"/>
      <c r="N244" s="232"/>
      <c r="O244" s="232"/>
      <c r="P244" s="232"/>
      <c r="Q244" s="232"/>
      <c r="R244" s="232"/>
      <c r="S244" s="232"/>
      <c r="T244" s="232"/>
      <c r="U244" s="232"/>
      <c r="V244" s="232"/>
      <c r="W244" s="232"/>
      <c r="X244" s="232"/>
      <c r="Y244" s="232"/>
      <c r="Z244" s="232"/>
      <c r="AA244" s="232"/>
      <c r="AB244" s="232"/>
      <c r="AC244" s="232"/>
      <c r="AD244" s="232"/>
      <c r="AE244" s="232"/>
      <c r="AF244" s="232"/>
      <c r="AG244" s="232"/>
    </row>
    <row r="245" spans="1:33">
      <c r="A245" s="232"/>
      <c r="B245" s="232"/>
      <c r="C245" s="232"/>
      <c r="D245" s="232"/>
      <c r="E245" s="232"/>
      <c r="F245" s="232"/>
      <c r="G245" s="232"/>
      <c r="H245" s="232"/>
      <c r="I245" s="232"/>
      <c r="J245" s="232"/>
      <c r="K245" s="232"/>
      <c r="L245" s="232"/>
      <c r="M245" s="232"/>
      <c r="N245" s="232"/>
      <c r="O245" s="232"/>
      <c r="P245" s="232"/>
      <c r="Q245" s="232"/>
      <c r="R245" s="232"/>
      <c r="S245" s="232"/>
      <c r="T245" s="232"/>
      <c r="U245" s="232"/>
      <c r="V245" s="232"/>
      <c r="W245" s="232"/>
      <c r="X245" s="232"/>
      <c r="Y245" s="232"/>
      <c r="Z245" s="232"/>
      <c r="AA245" s="232"/>
      <c r="AB245" s="232"/>
      <c r="AC245" s="232"/>
      <c r="AD245" s="232"/>
      <c r="AE245" s="232"/>
      <c r="AF245" s="232"/>
      <c r="AG245" s="232"/>
    </row>
    <row r="246" spans="1:33">
      <c r="A246" s="232"/>
      <c r="B246" s="232"/>
      <c r="C246" s="232"/>
      <c r="D246" s="232"/>
      <c r="E246" s="232"/>
      <c r="F246" s="232"/>
      <c r="G246" s="232"/>
      <c r="H246" s="232"/>
      <c r="I246" s="232"/>
      <c r="J246" s="232"/>
      <c r="K246" s="232"/>
      <c r="L246" s="232"/>
      <c r="M246" s="232"/>
      <c r="N246" s="232"/>
      <c r="O246" s="232"/>
      <c r="P246" s="232"/>
      <c r="Q246" s="232"/>
      <c r="R246" s="232"/>
      <c r="S246" s="232"/>
      <c r="T246" s="232"/>
      <c r="U246" s="232"/>
      <c r="V246" s="232"/>
      <c r="W246" s="232"/>
      <c r="X246" s="232"/>
      <c r="Y246" s="232"/>
      <c r="Z246" s="232"/>
      <c r="AA246" s="232"/>
      <c r="AB246" s="232"/>
      <c r="AC246" s="232"/>
      <c r="AD246" s="232"/>
      <c r="AE246" s="232"/>
      <c r="AF246" s="232"/>
      <c r="AG246" s="232"/>
    </row>
    <row r="247" spans="1:33">
      <c r="A247" s="232"/>
      <c r="B247" s="232"/>
      <c r="C247" s="232"/>
      <c r="D247" s="232"/>
      <c r="E247" s="232"/>
      <c r="F247" s="232"/>
      <c r="G247" s="232"/>
      <c r="H247" s="232"/>
      <c r="I247" s="232"/>
      <c r="J247" s="232"/>
      <c r="K247" s="232"/>
      <c r="L247" s="232"/>
      <c r="M247" s="232"/>
      <c r="N247" s="232"/>
      <c r="O247" s="232"/>
      <c r="P247" s="232"/>
      <c r="Q247" s="232"/>
      <c r="R247" s="232"/>
      <c r="S247" s="232"/>
      <c r="T247" s="232"/>
      <c r="U247" s="232"/>
      <c r="V247" s="232"/>
      <c r="W247" s="232"/>
      <c r="X247" s="232"/>
      <c r="Y247" s="232"/>
      <c r="Z247" s="232"/>
      <c r="AA247" s="232"/>
      <c r="AB247" s="232"/>
      <c r="AC247" s="232"/>
      <c r="AD247" s="232"/>
      <c r="AE247" s="232"/>
      <c r="AF247" s="232"/>
      <c r="AG247" s="232"/>
    </row>
    <row r="248" spans="1:33">
      <c r="A248" s="232"/>
      <c r="B248" s="232"/>
      <c r="C248" s="232"/>
      <c r="D248" s="232"/>
      <c r="E248" s="232"/>
      <c r="F248" s="232"/>
      <c r="G248" s="232"/>
      <c r="H248" s="232"/>
      <c r="I248" s="232"/>
      <c r="J248" s="232"/>
      <c r="K248" s="232"/>
      <c r="L248" s="232"/>
      <c r="M248" s="232"/>
      <c r="N248" s="232"/>
      <c r="O248" s="232"/>
      <c r="P248" s="232"/>
      <c r="Q248" s="232"/>
      <c r="R248" s="232"/>
      <c r="S248" s="232"/>
      <c r="T248" s="232"/>
      <c r="U248" s="232"/>
      <c r="V248" s="232"/>
      <c r="W248" s="232"/>
      <c r="X248" s="232"/>
      <c r="Y248" s="232"/>
      <c r="Z248" s="232"/>
      <c r="AA248" s="232"/>
      <c r="AB248" s="232"/>
      <c r="AC248" s="232"/>
      <c r="AD248" s="232"/>
      <c r="AE248" s="232"/>
      <c r="AF248" s="232"/>
      <c r="AG248" s="232"/>
    </row>
    <row r="249" spans="1:33">
      <c r="A249" s="232"/>
      <c r="B249" s="232"/>
      <c r="C249" s="232"/>
      <c r="D249" s="232"/>
      <c r="E249" s="232"/>
      <c r="F249" s="232"/>
      <c r="G249" s="232"/>
      <c r="H249" s="232"/>
      <c r="I249" s="232"/>
      <c r="J249" s="232"/>
      <c r="K249" s="232"/>
      <c r="L249" s="232"/>
      <c r="M249" s="232"/>
      <c r="N249" s="232"/>
      <c r="O249" s="232"/>
      <c r="P249" s="232"/>
      <c r="Q249" s="232"/>
      <c r="R249" s="232"/>
      <c r="S249" s="232"/>
      <c r="T249" s="232"/>
      <c r="U249" s="232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  <c r="AF249" s="232"/>
      <c r="AG249" s="232"/>
    </row>
    <row r="250" spans="1:33">
      <c r="A250" s="232"/>
      <c r="B250" s="232"/>
      <c r="C250" s="232"/>
      <c r="D250" s="232"/>
      <c r="E250" s="232"/>
      <c r="F250" s="232"/>
      <c r="G250" s="232"/>
      <c r="H250" s="232"/>
      <c r="I250" s="232"/>
      <c r="J250" s="232"/>
      <c r="K250" s="232"/>
      <c r="L250" s="232"/>
      <c r="M250" s="232"/>
      <c r="N250" s="232"/>
      <c r="O250" s="232"/>
      <c r="P250" s="232"/>
      <c r="Q250" s="232"/>
      <c r="R250" s="232"/>
      <c r="S250" s="232"/>
      <c r="T250" s="232"/>
      <c r="U250" s="232"/>
      <c r="V250" s="232"/>
      <c r="W250" s="232"/>
      <c r="X250" s="232"/>
      <c r="Y250" s="232"/>
      <c r="Z250" s="232"/>
      <c r="AA250" s="232"/>
      <c r="AB250" s="232"/>
      <c r="AC250" s="232"/>
      <c r="AD250" s="232"/>
      <c r="AE250" s="232"/>
      <c r="AF250" s="232"/>
      <c r="AG250" s="232"/>
    </row>
    <row r="251" spans="1:33">
      <c r="A251" s="232"/>
      <c r="B251" s="232"/>
      <c r="C251" s="232"/>
      <c r="D251" s="232"/>
      <c r="E251" s="232"/>
      <c r="F251" s="232"/>
      <c r="G251" s="232"/>
      <c r="H251" s="232"/>
      <c r="I251" s="232"/>
      <c r="J251" s="232"/>
      <c r="K251" s="232"/>
      <c r="L251" s="232"/>
      <c r="M251" s="232"/>
      <c r="N251" s="232"/>
      <c r="O251" s="232"/>
      <c r="P251" s="232"/>
      <c r="Q251" s="232"/>
      <c r="R251" s="232"/>
      <c r="S251" s="232"/>
      <c r="T251" s="232"/>
      <c r="U251" s="232"/>
      <c r="V251" s="232"/>
      <c r="W251" s="232"/>
      <c r="X251" s="232"/>
      <c r="Y251" s="232"/>
      <c r="Z251" s="232"/>
      <c r="AA251" s="232"/>
      <c r="AB251" s="232"/>
      <c r="AC251" s="232"/>
      <c r="AD251" s="232"/>
      <c r="AE251" s="232"/>
      <c r="AF251" s="232"/>
      <c r="AG251" s="232"/>
    </row>
    <row r="252" spans="1:33">
      <c r="A252" s="232"/>
      <c r="B252" s="232"/>
      <c r="C252" s="232"/>
      <c r="D252" s="232"/>
      <c r="E252" s="232"/>
      <c r="F252" s="232"/>
      <c r="G252" s="232"/>
      <c r="H252" s="232"/>
      <c r="I252" s="232"/>
      <c r="J252" s="232"/>
      <c r="K252" s="232"/>
      <c r="L252" s="232"/>
      <c r="M252" s="232"/>
      <c r="N252" s="232"/>
      <c r="O252" s="232"/>
      <c r="P252" s="232"/>
      <c r="Q252" s="232"/>
      <c r="R252" s="232"/>
      <c r="S252" s="232"/>
      <c r="T252" s="232"/>
      <c r="U252" s="232"/>
      <c r="V252" s="232"/>
      <c r="W252" s="232"/>
      <c r="X252" s="232"/>
      <c r="Y252" s="232"/>
      <c r="Z252" s="232"/>
      <c r="AA252" s="232"/>
      <c r="AB252" s="232"/>
      <c r="AC252" s="232"/>
      <c r="AD252" s="232"/>
      <c r="AE252" s="232"/>
      <c r="AF252" s="232"/>
      <c r="AG252" s="232"/>
    </row>
    <row r="253" spans="1:33">
      <c r="A253" s="232"/>
      <c r="B253" s="232"/>
      <c r="C253" s="232"/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F253" s="232"/>
      <c r="AG253" s="232"/>
    </row>
    <row r="254" spans="1:33">
      <c r="A254" s="232"/>
      <c r="B254" s="232"/>
      <c r="C254" s="232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  <c r="AG254" s="232"/>
    </row>
    <row r="255" spans="1:33">
      <c r="A255" s="232"/>
      <c r="B255" s="232"/>
      <c r="C255" s="232"/>
      <c r="D255" s="232"/>
      <c r="E255" s="232"/>
      <c r="F255" s="232"/>
      <c r="G255" s="232"/>
      <c r="H255" s="232"/>
      <c r="I255" s="232"/>
      <c r="J255" s="232"/>
      <c r="K255" s="232"/>
      <c r="L255" s="232"/>
      <c r="M255" s="232"/>
      <c r="N255" s="232"/>
      <c r="O255" s="232"/>
      <c r="P255" s="232"/>
      <c r="Q255" s="232"/>
      <c r="R255" s="232"/>
      <c r="S255" s="232"/>
      <c r="T255" s="232"/>
      <c r="U255" s="232"/>
      <c r="V255" s="232"/>
      <c r="W255" s="232"/>
      <c r="X255" s="232"/>
      <c r="Y255" s="232"/>
      <c r="Z255" s="232"/>
      <c r="AA255" s="232"/>
      <c r="AB255" s="232"/>
      <c r="AC255" s="232"/>
      <c r="AD255" s="232"/>
      <c r="AE255" s="232"/>
      <c r="AF255" s="232"/>
      <c r="AG255" s="232"/>
    </row>
    <row r="256" spans="1:33">
      <c r="A256" s="232"/>
      <c r="B256" s="232"/>
      <c r="C256" s="232"/>
      <c r="D256" s="232"/>
      <c r="E256" s="232"/>
      <c r="F256" s="232"/>
      <c r="G256" s="232"/>
      <c r="H256" s="232"/>
      <c r="I256" s="232"/>
      <c r="J256" s="232"/>
      <c r="K256" s="232"/>
      <c r="L256" s="232"/>
      <c r="M256" s="232"/>
      <c r="N256" s="232"/>
      <c r="O256" s="232"/>
      <c r="P256" s="232"/>
      <c r="Q256" s="232"/>
      <c r="R256" s="232"/>
      <c r="S256" s="232"/>
      <c r="T256" s="232"/>
      <c r="U256" s="232"/>
      <c r="V256" s="232"/>
      <c r="W256" s="232"/>
      <c r="X256" s="232"/>
      <c r="Y256" s="232"/>
      <c r="Z256" s="232"/>
      <c r="AA256" s="232"/>
      <c r="AB256" s="232"/>
      <c r="AC256" s="232"/>
      <c r="AD256" s="232"/>
      <c r="AE256" s="232"/>
      <c r="AF256" s="232"/>
      <c r="AG256" s="232"/>
    </row>
    <row r="257" spans="1:33">
      <c r="A257" s="232"/>
      <c r="B257" s="232"/>
      <c r="C257" s="232"/>
      <c r="D257" s="232"/>
      <c r="E257" s="232"/>
      <c r="F257" s="232"/>
      <c r="G257" s="232"/>
      <c r="H257" s="232"/>
      <c r="I257" s="232"/>
      <c r="J257" s="232"/>
      <c r="K257" s="232"/>
      <c r="L257" s="232"/>
      <c r="M257" s="232"/>
      <c r="N257" s="232"/>
      <c r="O257" s="232"/>
      <c r="P257" s="232"/>
      <c r="Q257" s="232"/>
      <c r="R257" s="232"/>
      <c r="S257" s="232"/>
      <c r="T257" s="232"/>
      <c r="U257" s="232"/>
      <c r="V257" s="232"/>
      <c r="W257" s="232"/>
      <c r="X257" s="232"/>
      <c r="Y257" s="232"/>
      <c r="Z257" s="232"/>
      <c r="AA257" s="232"/>
      <c r="AB257" s="232"/>
      <c r="AC257" s="232"/>
      <c r="AD257" s="232"/>
      <c r="AE257" s="232"/>
      <c r="AF257" s="232"/>
      <c r="AG257" s="232"/>
    </row>
    <row r="258" spans="1:33">
      <c r="A258" s="232"/>
      <c r="B258" s="232"/>
      <c r="C258" s="232"/>
      <c r="D258" s="232"/>
      <c r="E258" s="232"/>
      <c r="F258" s="232"/>
      <c r="G258" s="232"/>
      <c r="H258" s="232"/>
      <c r="I258" s="232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F258" s="232"/>
      <c r="AG258" s="232"/>
    </row>
    <row r="259" spans="1:33">
      <c r="A259" s="232"/>
      <c r="B259" s="232"/>
      <c r="C259" s="232"/>
      <c r="D259" s="232"/>
      <c r="E259" s="232"/>
      <c r="F259" s="232"/>
      <c r="G259" s="232"/>
      <c r="H259" s="232"/>
      <c r="I259" s="232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F259" s="232"/>
      <c r="AG259" s="232"/>
    </row>
    <row r="260" spans="1:33">
      <c r="A260" s="232"/>
      <c r="B260" s="232"/>
      <c r="C260" s="232"/>
      <c r="D260" s="232"/>
      <c r="E260" s="232"/>
      <c r="F260" s="232"/>
      <c r="G260" s="232"/>
      <c r="H260" s="232"/>
      <c r="I260" s="232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F260" s="232"/>
      <c r="AG260" s="232"/>
    </row>
    <row r="261" spans="1:33">
      <c r="A261" s="232"/>
      <c r="B261" s="232"/>
      <c r="C261" s="232"/>
      <c r="D261" s="232"/>
      <c r="E261" s="232"/>
      <c r="F261" s="232"/>
      <c r="G261" s="232"/>
      <c r="H261" s="232"/>
      <c r="I261" s="232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F261" s="232"/>
      <c r="AG261" s="232"/>
    </row>
    <row r="262" spans="1:33">
      <c r="A262" s="232"/>
      <c r="B262" s="232"/>
      <c r="C262" s="232"/>
      <c r="D262" s="232"/>
      <c r="E262" s="232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</row>
    <row r="263" spans="1:33">
      <c r="A263" s="232"/>
      <c r="B263" s="232"/>
      <c r="C263" s="232"/>
      <c r="D263" s="232"/>
      <c r="E263" s="232"/>
      <c r="F263" s="232"/>
      <c r="G263" s="232"/>
      <c r="H263" s="232"/>
      <c r="I263" s="232"/>
      <c r="J263" s="232"/>
      <c r="K263" s="232"/>
      <c r="L263" s="232"/>
      <c r="M263" s="232"/>
      <c r="N263" s="232"/>
      <c r="O263" s="232"/>
      <c r="P263" s="232"/>
      <c r="Q263" s="232"/>
      <c r="R263" s="232"/>
      <c r="S263" s="232"/>
      <c r="T263" s="232"/>
      <c r="U263" s="232"/>
      <c r="V263" s="232"/>
      <c r="W263" s="232"/>
      <c r="X263" s="232"/>
      <c r="Y263" s="232"/>
      <c r="Z263" s="232"/>
      <c r="AA263" s="232"/>
      <c r="AB263" s="232"/>
      <c r="AC263" s="232"/>
      <c r="AD263" s="232"/>
      <c r="AE263" s="232"/>
      <c r="AF263" s="232"/>
      <c r="AG263" s="232"/>
    </row>
    <row r="264" spans="1:33">
      <c r="A264" s="232"/>
      <c r="B264" s="232"/>
      <c r="C264" s="232"/>
      <c r="D264" s="232"/>
      <c r="E264" s="232"/>
      <c r="F264" s="232"/>
      <c r="G264" s="232"/>
      <c r="H264" s="232"/>
      <c r="I264" s="232"/>
      <c r="J264" s="232"/>
      <c r="K264" s="232"/>
      <c r="L264" s="232"/>
      <c r="M264" s="232"/>
      <c r="N264" s="232"/>
      <c r="O264" s="232"/>
      <c r="P264" s="232"/>
      <c r="Q264" s="232"/>
      <c r="R264" s="232"/>
      <c r="S264" s="232"/>
      <c r="T264" s="232"/>
      <c r="U264" s="232"/>
      <c r="V264" s="232"/>
      <c r="W264" s="232"/>
      <c r="X264" s="232"/>
      <c r="Y264" s="232"/>
      <c r="Z264" s="232"/>
      <c r="AA264" s="232"/>
      <c r="AB264" s="232"/>
      <c r="AC264" s="232"/>
      <c r="AD264" s="232"/>
      <c r="AE264" s="232"/>
      <c r="AF264" s="232"/>
      <c r="AG264" s="232"/>
    </row>
    <row r="265" spans="1:33">
      <c r="A265" s="232"/>
      <c r="B265" s="232"/>
      <c r="C265" s="232"/>
      <c r="D265" s="232"/>
      <c r="E265" s="232"/>
      <c r="F265" s="232"/>
      <c r="G265" s="232"/>
      <c r="H265" s="232"/>
      <c r="I265" s="232"/>
      <c r="J265" s="232"/>
      <c r="K265" s="232"/>
      <c r="L265" s="232"/>
      <c r="M265" s="232"/>
      <c r="N265" s="232"/>
      <c r="O265" s="232"/>
      <c r="P265" s="232"/>
      <c r="Q265" s="232"/>
      <c r="R265" s="232"/>
      <c r="S265" s="232"/>
      <c r="T265" s="232"/>
      <c r="U265" s="232"/>
      <c r="V265" s="232"/>
      <c r="W265" s="232"/>
      <c r="X265" s="232"/>
      <c r="Y265" s="232"/>
      <c r="Z265" s="232"/>
      <c r="AA265" s="232"/>
      <c r="AB265" s="232"/>
      <c r="AC265" s="232"/>
      <c r="AD265" s="232"/>
      <c r="AE265" s="232"/>
      <c r="AF265" s="232"/>
      <c r="AG265" s="232"/>
    </row>
    <row r="266" spans="1:33">
      <c r="A266" s="232"/>
      <c r="B266" s="232"/>
      <c r="C266" s="232"/>
      <c r="D266" s="232"/>
      <c r="E266" s="232"/>
      <c r="F266" s="232"/>
      <c r="G266" s="232"/>
      <c r="H266" s="232"/>
      <c r="I266" s="232"/>
      <c r="J266" s="232"/>
      <c r="K266" s="232"/>
      <c r="L266" s="232"/>
      <c r="M266" s="232"/>
      <c r="N266" s="232"/>
      <c r="O266" s="232"/>
      <c r="P266" s="232"/>
      <c r="Q266" s="232"/>
      <c r="R266" s="232"/>
      <c r="S266" s="232"/>
      <c r="T266" s="232"/>
      <c r="U266" s="232"/>
      <c r="V266" s="232"/>
      <c r="W266" s="232"/>
      <c r="X266" s="232"/>
      <c r="Y266" s="232"/>
      <c r="Z266" s="232"/>
      <c r="AA266" s="232"/>
      <c r="AB266" s="232"/>
      <c r="AC266" s="232"/>
      <c r="AD266" s="232"/>
      <c r="AE266" s="232"/>
      <c r="AF266" s="232"/>
      <c r="AG266" s="232"/>
    </row>
    <row r="267" spans="1:33">
      <c r="A267" s="232"/>
      <c r="B267" s="232"/>
      <c r="C267" s="232"/>
      <c r="D267" s="232"/>
      <c r="E267" s="232"/>
      <c r="F267" s="232"/>
      <c r="G267" s="232"/>
      <c r="H267" s="232"/>
      <c r="I267" s="232"/>
      <c r="J267" s="232"/>
      <c r="K267" s="232"/>
      <c r="L267" s="232"/>
      <c r="M267" s="232"/>
      <c r="N267" s="232"/>
      <c r="O267" s="232"/>
      <c r="P267" s="232"/>
      <c r="Q267" s="232"/>
      <c r="R267" s="232"/>
      <c r="S267" s="232"/>
      <c r="T267" s="232"/>
      <c r="U267" s="232"/>
      <c r="V267" s="232"/>
      <c r="W267" s="232"/>
      <c r="X267" s="232"/>
      <c r="Y267" s="232"/>
      <c r="Z267" s="232"/>
      <c r="AA267" s="232"/>
      <c r="AB267" s="232"/>
      <c r="AC267" s="232"/>
      <c r="AD267" s="232"/>
      <c r="AE267" s="232"/>
      <c r="AF267" s="232"/>
      <c r="AG267" s="232"/>
    </row>
    <row r="268" spans="1:33">
      <c r="A268" s="232"/>
      <c r="B268" s="232"/>
      <c r="C268" s="232"/>
      <c r="D268" s="232"/>
      <c r="E268" s="232"/>
      <c r="F268" s="232"/>
      <c r="G268" s="232"/>
      <c r="H268" s="232"/>
      <c r="I268" s="232"/>
      <c r="J268" s="232"/>
      <c r="K268" s="232"/>
      <c r="L268" s="232"/>
      <c r="M268" s="232"/>
      <c r="N268" s="232"/>
      <c r="O268" s="232"/>
      <c r="P268" s="232"/>
      <c r="Q268" s="232"/>
      <c r="R268" s="232"/>
      <c r="S268" s="232"/>
      <c r="T268" s="232"/>
      <c r="U268" s="232"/>
      <c r="V268" s="232"/>
      <c r="W268" s="232"/>
      <c r="X268" s="232"/>
      <c r="Y268" s="232"/>
      <c r="Z268" s="232"/>
      <c r="AA268" s="232"/>
      <c r="AB268" s="232"/>
      <c r="AC268" s="232"/>
      <c r="AD268" s="232"/>
      <c r="AE268" s="232"/>
      <c r="AF268" s="232"/>
      <c r="AG268" s="232"/>
    </row>
    <row r="269" spans="1:33">
      <c r="A269" s="232"/>
      <c r="B269" s="232"/>
      <c r="C269" s="232"/>
      <c r="D269" s="232"/>
      <c r="E269" s="232"/>
      <c r="F269" s="232"/>
      <c r="G269" s="232"/>
      <c r="H269" s="232"/>
      <c r="I269" s="232"/>
      <c r="J269" s="232"/>
      <c r="K269" s="232"/>
      <c r="L269" s="232"/>
      <c r="M269" s="232"/>
      <c r="N269" s="232"/>
      <c r="O269" s="232"/>
      <c r="P269" s="232"/>
      <c r="Q269" s="232"/>
      <c r="R269" s="232"/>
      <c r="S269" s="232"/>
      <c r="T269" s="232"/>
      <c r="U269" s="232"/>
      <c r="V269" s="232"/>
      <c r="W269" s="232"/>
      <c r="X269" s="232"/>
      <c r="Y269" s="232"/>
      <c r="Z269" s="232"/>
      <c r="AA269" s="232"/>
      <c r="AB269" s="232"/>
      <c r="AC269" s="232"/>
      <c r="AD269" s="232"/>
      <c r="AE269" s="232"/>
      <c r="AF269" s="232"/>
      <c r="AG269" s="232"/>
    </row>
    <row r="270" spans="1:33">
      <c r="A270" s="232"/>
      <c r="B270" s="232"/>
      <c r="C270" s="232"/>
      <c r="D270" s="232"/>
      <c r="E270" s="232"/>
      <c r="F270" s="232"/>
      <c r="G270" s="232"/>
      <c r="H270" s="232"/>
      <c r="I270" s="232"/>
      <c r="J270" s="232"/>
      <c r="K270" s="232"/>
      <c r="L270" s="232"/>
      <c r="M270" s="232"/>
      <c r="N270" s="232"/>
      <c r="O270" s="232"/>
      <c r="P270" s="232"/>
      <c r="Q270" s="232"/>
      <c r="R270" s="232"/>
      <c r="S270" s="232"/>
      <c r="T270" s="232"/>
      <c r="U270" s="232"/>
      <c r="V270" s="232"/>
      <c r="W270" s="232"/>
      <c r="X270" s="232"/>
      <c r="Y270" s="232"/>
      <c r="Z270" s="232"/>
      <c r="AA270" s="232"/>
      <c r="AB270" s="232"/>
      <c r="AC270" s="232"/>
      <c r="AD270" s="232"/>
      <c r="AE270" s="232"/>
      <c r="AF270" s="232"/>
      <c r="AG270" s="232"/>
    </row>
    <row r="271" spans="1:33">
      <c r="A271" s="232"/>
      <c r="B271" s="232"/>
      <c r="C271" s="232"/>
      <c r="D271" s="232"/>
      <c r="E271" s="232"/>
      <c r="F271" s="232"/>
      <c r="G271" s="232"/>
      <c r="H271" s="232"/>
      <c r="I271" s="232"/>
      <c r="J271" s="232"/>
      <c r="K271" s="232"/>
      <c r="L271" s="232"/>
      <c r="M271" s="232"/>
      <c r="N271" s="232"/>
      <c r="O271" s="232"/>
      <c r="P271" s="232"/>
      <c r="Q271" s="232"/>
      <c r="R271" s="232"/>
      <c r="S271" s="232"/>
      <c r="T271" s="232"/>
      <c r="U271" s="232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  <c r="AF271" s="232"/>
      <c r="AG271" s="232"/>
    </row>
    <row r="272" spans="1:33">
      <c r="A272" s="232"/>
      <c r="B272" s="232"/>
      <c r="C272" s="232"/>
      <c r="D272" s="232"/>
      <c r="E272" s="232"/>
      <c r="F272" s="232"/>
      <c r="G272" s="232"/>
      <c r="H272" s="232"/>
      <c r="I272" s="232"/>
      <c r="J272" s="232"/>
      <c r="K272" s="232"/>
      <c r="L272" s="232"/>
      <c r="M272" s="232"/>
      <c r="N272" s="232"/>
      <c r="O272" s="232"/>
      <c r="P272" s="232"/>
      <c r="Q272" s="232"/>
      <c r="R272" s="232"/>
      <c r="S272" s="232"/>
      <c r="T272" s="232"/>
      <c r="U272" s="232"/>
      <c r="V272" s="232"/>
      <c r="W272" s="232"/>
      <c r="X272" s="232"/>
      <c r="Y272" s="232"/>
      <c r="Z272" s="232"/>
      <c r="AA272" s="232"/>
      <c r="AB272" s="232"/>
      <c r="AC272" s="232"/>
      <c r="AD272" s="232"/>
      <c r="AE272" s="232"/>
      <c r="AF272" s="232"/>
      <c r="AG272" s="232"/>
    </row>
    <row r="273" spans="1:33">
      <c r="A273" s="232"/>
      <c r="B273" s="232"/>
      <c r="C273" s="232"/>
      <c r="D273" s="232"/>
      <c r="E273" s="232"/>
      <c r="F273" s="232"/>
      <c r="G273" s="232"/>
      <c r="H273" s="232"/>
      <c r="I273" s="232"/>
      <c r="J273" s="232"/>
      <c r="K273" s="232"/>
      <c r="L273" s="232"/>
      <c r="M273" s="232"/>
      <c r="N273" s="232"/>
      <c r="O273" s="232"/>
      <c r="P273" s="232"/>
      <c r="Q273" s="232"/>
      <c r="R273" s="232"/>
      <c r="S273" s="232"/>
      <c r="T273" s="232"/>
      <c r="U273" s="232"/>
      <c r="V273" s="232"/>
      <c r="W273" s="232"/>
      <c r="X273" s="232"/>
      <c r="Y273" s="232"/>
      <c r="Z273" s="232"/>
      <c r="AA273" s="232"/>
      <c r="AB273" s="232"/>
      <c r="AC273" s="232"/>
      <c r="AD273" s="232"/>
      <c r="AE273" s="232"/>
      <c r="AF273" s="232"/>
      <c r="AG273" s="232"/>
    </row>
    <row r="274" spans="1:33">
      <c r="A274" s="232"/>
      <c r="B274" s="232"/>
      <c r="C274" s="232"/>
      <c r="D274" s="232"/>
      <c r="E274" s="232"/>
      <c r="F274" s="232"/>
      <c r="G274" s="232"/>
      <c r="H274" s="232"/>
      <c r="I274" s="232"/>
      <c r="J274" s="232"/>
      <c r="K274" s="232"/>
      <c r="L274" s="232"/>
      <c r="M274" s="232"/>
      <c r="N274" s="232"/>
      <c r="O274" s="232"/>
      <c r="P274" s="232"/>
      <c r="Q274" s="232"/>
      <c r="R274" s="232"/>
      <c r="S274" s="232"/>
      <c r="T274" s="232"/>
      <c r="U274" s="232"/>
      <c r="V274" s="232"/>
      <c r="W274" s="232"/>
      <c r="X274" s="232"/>
      <c r="Y274" s="232"/>
      <c r="Z274" s="232"/>
      <c r="AA274" s="232"/>
      <c r="AB274" s="232"/>
      <c r="AC274" s="232"/>
      <c r="AD274" s="232"/>
      <c r="AE274" s="232"/>
      <c r="AF274" s="232"/>
      <c r="AG274" s="232"/>
    </row>
    <row r="275" spans="1:33">
      <c r="A275" s="232"/>
      <c r="B275" s="232"/>
      <c r="C275" s="232"/>
      <c r="D275" s="232"/>
      <c r="E275" s="232"/>
      <c r="F275" s="232"/>
      <c r="G275" s="232"/>
      <c r="H275" s="232"/>
      <c r="I275" s="232"/>
      <c r="J275" s="232"/>
      <c r="K275" s="232"/>
      <c r="L275" s="232"/>
      <c r="M275" s="232"/>
      <c r="N275" s="232"/>
      <c r="O275" s="232"/>
      <c r="P275" s="232"/>
      <c r="Q275" s="232"/>
      <c r="R275" s="232"/>
      <c r="S275" s="232"/>
      <c r="T275" s="232"/>
      <c r="U275" s="232"/>
      <c r="V275" s="232"/>
      <c r="W275" s="232"/>
      <c r="X275" s="232"/>
      <c r="Y275" s="232"/>
      <c r="Z275" s="232"/>
      <c r="AA275" s="232"/>
      <c r="AB275" s="232"/>
      <c r="AC275" s="232"/>
      <c r="AD275" s="232"/>
      <c r="AE275" s="232"/>
      <c r="AF275" s="232"/>
      <c r="AG275" s="232"/>
    </row>
    <row r="276" spans="1:33">
      <c r="A276" s="232"/>
      <c r="B276" s="232"/>
      <c r="C276" s="232"/>
      <c r="D276" s="232"/>
      <c r="E276" s="232"/>
      <c r="F276" s="232"/>
      <c r="G276" s="232"/>
      <c r="H276" s="232"/>
      <c r="I276" s="232"/>
      <c r="J276" s="232"/>
      <c r="K276" s="232"/>
      <c r="L276" s="232"/>
      <c r="M276" s="232"/>
      <c r="N276" s="232"/>
      <c r="O276" s="232"/>
      <c r="P276" s="232"/>
      <c r="Q276" s="232"/>
      <c r="R276" s="232"/>
      <c r="S276" s="232"/>
      <c r="T276" s="232"/>
      <c r="U276" s="232"/>
      <c r="V276" s="232"/>
      <c r="W276" s="232"/>
      <c r="X276" s="232"/>
      <c r="Y276" s="232"/>
      <c r="Z276" s="232"/>
      <c r="AA276" s="232"/>
      <c r="AB276" s="232"/>
      <c r="AC276" s="232"/>
      <c r="AD276" s="232"/>
      <c r="AE276" s="232"/>
      <c r="AF276" s="232"/>
      <c r="AG276" s="232"/>
    </row>
    <row r="277" spans="1:33">
      <c r="A277" s="232"/>
      <c r="B277" s="232"/>
      <c r="C277" s="232"/>
      <c r="D277" s="232"/>
      <c r="E277" s="232"/>
      <c r="F277" s="232"/>
      <c r="G277" s="232"/>
      <c r="H277" s="232"/>
      <c r="I277" s="232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F277" s="232"/>
      <c r="AG277" s="232"/>
    </row>
    <row r="278" spans="1:33">
      <c r="A278" s="232"/>
      <c r="B278" s="232"/>
      <c r="C278" s="232"/>
      <c r="D278" s="232"/>
      <c r="E278" s="232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  <c r="AG278" s="232"/>
    </row>
    <row r="279" spans="1:33">
      <c r="A279" s="232"/>
      <c r="B279" s="232"/>
      <c r="C279" s="232"/>
      <c r="D279" s="232"/>
      <c r="E279" s="232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  <c r="AG279" s="232"/>
    </row>
    <row r="280" spans="1:33">
      <c r="A280" s="232"/>
      <c r="B280" s="232"/>
      <c r="C280" s="232"/>
      <c r="D280" s="232"/>
      <c r="E280" s="232"/>
      <c r="F280" s="232"/>
      <c r="G280" s="232"/>
      <c r="H280" s="232"/>
      <c r="I280" s="232"/>
      <c r="J280" s="232"/>
      <c r="K280" s="232"/>
      <c r="L280" s="232"/>
      <c r="M280" s="232"/>
      <c r="N280" s="232"/>
      <c r="O280" s="232"/>
      <c r="P280" s="232"/>
      <c r="Q280" s="232"/>
      <c r="R280" s="232"/>
      <c r="S280" s="232"/>
      <c r="T280" s="232"/>
      <c r="U280" s="232"/>
      <c r="V280" s="232"/>
      <c r="W280" s="232"/>
      <c r="X280" s="232"/>
      <c r="Y280" s="232"/>
      <c r="Z280" s="232"/>
      <c r="AA280" s="232"/>
      <c r="AB280" s="232"/>
      <c r="AC280" s="232"/>
      <c r="AD280" s="232"/>
      <c r="AE280" s="232"/>
      <c r="AF280" s="232"/>
      <c r="AG280" s="232"/>
    </row>
    <row r="281" spans="1:33">
      <c r="A281" s="232"/>
      <c r="B281" s="232"/>
      <c r="C281" s="232"/>
      <c r="D281" s="232"/>
      <c r="E281" s="232"/>
      <c r="F281" s="232"/>
      <c r="G281" s="232"/>
      <c r="H281" s="232"/>
      <c r="I281" s="232"/>
      <c r="J281" s="232"/>
      <c r="K281" s="232"/>
      <c r="L281" s="232"/>
      <c r="M281" s="232"/>
      <c r="N281" s="232"/>
      <c r="O281" s="232"/>
      <c r="P281" s="232"/>
      <c r="Q281" s="232"/>
      <c r="R281" s="232"/>
      <c r="S281" s="232"/>
      <c r="T281" s="232"/>
      <c r="U281" s="232"/>
      <c r="V281" s="232"/>
      <c r="W281" s="232"/>
      <c r="X281" s="232"/>
      <c r="Y281" s="232"/>
      <c r="Z281" s="232"/>
      <c r="AA281" s="232"/>
      <c r="AB281" s="232"/>
      <c r="AC281" s="232"/>
      <c r="AD281" s="232"/>
      <c r="AE281" s="232"/>
      <c r="AF281" s="232"/>
      <c r="AG281" s="232"/>
    </row>
    <row r="282" spans="1:33">
      <c r="A282" s="232"/>
      <c r="B282" s="232"/>
      <c r="C282" s="232"/>
      <c r="D282" s="232"/>
      <c r="E282" s="232"/>
      <c r="F282" s="232"/>
      <c r="G282" s="232"/>
      <c r="H282" s="232"/>
      <c r="I282" s="232"/>
      <c r="J282" s="232"/>
      <c r="K282" s="232"/>
      <c r="L282" s="232"/>
      <c r="M282" s="232"/>
      <c r="N282" s="232"/>
      <c r="O282" s="232"/>
      <c r="P282" s="232"/>
      <c r="Q282" s="232"/>
      <c r="R282" s="232"/>
      <c r="S282" s="232"/>
      <c r="T282" s="232"/>
      <c r="U282" s="232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  <c r="AF282" s="232"/>
      <c r="AG282" s="232"/>
    </row>
    <row r="283" spans="1:33">
      <c r="A283" s="232"/>
      <c r="B283" s="232"/>
      <c r="C283" s="232"/>
      <c r="D283" s="232"/>
      <c r="E283" s="232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2"/>
      <c r="AG283" s="232"/>
    </row>
  </sheetData>
  <mergeCells count="67">
    <mergeCell ref="N87:N88"/>
    <mergeCell ref="B64:B66"/>
    <mergeCell ref="B72:C72"/>
    <mergeCell ref="O86:P87"/>
    <mergeCell ref="E87:I87"/>
    <mergeCell ref="J87:J88"/>
    <mergeCell ref="K87:K88"/>
    <mergeCell ref="L87:L88"/>
    <mergeCell ref="M87:M88"/>
    <mergeCell ref="B75:C75"/>
    <mergeCell ref="B86:B88"/>
    <mergeCell ref="C86:D87"/>
    <mergeCell ref="E86:N86"/>
    <mergeCell ref="B94:B96"/>
    <mergeCell ref="C94:D95"/>
    <mergeCell ref="E94:N94"/>
    <mergeCell ref="O94:P95"/>
    <mergeCell ref="E95:I95"/>
    <mergeCell ref="B126:B128"/>
    <mergeCell ref="B11:C13"/>
    <mergeCell ref="D11:S11"/>
    <mergeCell ref="D12:D13"/>
    <mergeCell ref="E12:E13"/>
    <mergeCell ref="F12:M12"/>
    <mergeCell ref="N12:R12"/>
    <mergeCell ref="S12:S13"/>
    <mergeCell ref="B103:B104"/>
    <mergeCell ref="J95:J96"/>
    <mergeCell ref="K95:K96"/>
    <mergeCell ref="L95:L96"/>
    <mergeCell ref="M95:M96"/>
    <mergeCell ref="N95:N96"/>
    <mergeCell ref="N119:R119"/>
    <mergeCell ref="S57:S58"/>
    <mergeCell ref="C103:D103"/>
    <mergeCell ref="E103:E104"/>
    <mergeCell ref="F103:M103"/>
    <mergeCell ref="N103:R103"/>
    <mergeCell ref="B118:C120"/>
    <mergeCell ref="B117:S117"/>
    <mergeCell ref="S119:S120"/>
    <mergeCell ref="D118:S118"/>
    <mergeCell ref="D119:D120"/>
    <mergeCell ref="E119:E120"/>
    <mergeCell ref="F119:M119"/>
    <mergeCell ref="AB18:AB29"/>
    <mergeCell ref="B33:C35"/>
    <mergeCell ref="D33:S33"/>
    <mergeCell ref="D34:D35"/>
    <mergeCell ref="E34:E35"/>
    <mergeCell ref="F34:M34"/>
    <mergeCell ref="N34:R34"/>
    <mergeCell ref="S34:S35"/>
    <mergeCell ref="B19:B21"/>
    <mergeCell ref="B27:C27"/>
    <mergeCell ref="B30:C30"/>
    <mergeCell ref="AB40:AB51"/>
    <mergeCell ref="B41:B43"/>
    <mergeCell ref="B49:C49"/>
    <mergeCell ref="B52:C52"/>
    <mergeCell ref="B55:S55"/>
    <mergeCell ref="B56:C58"/>
    <mergeCell ref="D56:S56"/>
    <mergeCell ref="D57:D58"/>
    <mergeCell ref="E57:E58"/>
    <mergeCell ref="F57:M57"/>
    <mergeCell ref="N57:R5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T64"/>
  <sheetViews>
    <sheetView zoomScale="90" zoomScaleNormal="90" workbookViewId="0">
      <selection activeCell="H3" sqref="H3:N3"/>
    </sheetView>
  </sheetViews>
  <sheetFormatPr defaultColWidth="9.140625" defaultRowHeight="12.75"/>
  <cols>
    <col min="1" max="1" width="9.140625" style="2"/>
    <col min="2" max="2" width="6.85546875" style="2" customWidth="1"/>
    <col min="3" max="3" width="8.140625" style="123" customWidth="1"/>
    <col min="4" max="4" width="4.42578125" style="2" customWidth="1"/>
    <col min="5" max="5" width="5.5703125" style="2" customWidth="1"/>
    <col min="6" max="6" width="51.140625" style="2" customWidth="1"/>
    <col min="7" max="7" width="19" style="2" customWidth="1"/>
    <col min="8" max="19" width="12.7109375" style="2" customWidth="1"/>
    <col min="20" max="16384" width="9.140625" style="2"/>
  </cols>
  <sheetData>
    <row r="1" spans="2:19" ht="21" customHeight="1" thickBot="1">
      <c r="H1" s="584"/>
      <c r="I1" s="584"/>
      <c r="J1" s="584"/>
      <c r="K1" s="128"/>
      <c r="L1" s="128"/>
      <c r="M1" s="128"/>
      <c r="N1" s="128"/>
      <c r="O1" s="128"/>
      <c r="P1" s="128"/>
      <c r="Q1" s="584"/>
      <c r="R1" s="584"/>
      <c r="S1" s="584"/>
    </row>
    <row r="2" spans="2:19" s="13" customFormat="1" ht="61.5" customHeight="1" thickBot="1">
      <c r="B2" s="129" t="s">
        <v>157</v>
      </c>
      <c r="C2" s="126" t="s">
        <v>150</v>
      </c>
      <c r="D2" s="125" t="s">
        <v>2</v>
      </c>
      <c r="E2" s="125" t="s">
        <v>3</v>
      </c>
      <c r="F2" s="24" t="s">
        <v>67</v>
      </c>
      <c r="G2" s="77" t="s">
        <v>142</v>
      </c>
      <c r="H2" s="581" t="s">
        <v>141</v>
      </c>
      <c r="I2" s="582"/>
      <c r="J2" s="582"/>
      <c r="K2" s="582"/>
      <c r="L2" s="582"/>
      <c r="M2" s="582"/>
      <c r="N2" s="582"/>
      <c r="O2" s="582"/>
      <c r="P2" s="583"/>
      <c r="Q2" s="581" t="s">
        <v>154</v>
      </c>
      <c r="R2" s="582"/>
      <c r="S2" s="127" t="s">
        <v>156</v>
      </c>
    </row>
    <row r="3" spans="2:19" s="13" customFormat="1" ht="14.25" customHeight="1" thickBot="1">
      <c r="B3" s="29"/>
      <c r="C3" s="124"/>
      <c r="D3" s="29"/>
      <c r="E3" s="29"/>
      <c r="F3" s="29"/>
      <c r="G3" s="118"/>
      <c r="H3" s="117" t="s">
        <v>111</v>
      </c>
      <c r="I3" s="28" t="s">
        <v>112</v>
      </c>
      <c r="J3" s="28" t="s">
        <v>126</v>
      </c>
      <c r="K3" s="116" t="s">
        <v>114</v>
      </c>
      <c r="L3" s="116" t="s">
        <v>143</v>
      </c>
      <c r="M3" s="116" t="s">
        <v>113</v>
      </c>
      <c r="N3" s="116" t="s">
        <v>144</v>
      </c>
      <c r="O3" s="164" t="s">
        <v>145</v>
      </c>
      <c r="P3" s="165" t="s">
        <v>146</v>
      </c>
      <c r="Q3" s="170" t="s">
        <v>155</v>
      </c>
      <c r="R3" s="165" t="s">
        <v>95</v>
      </c>
      <c r="S3" s="117" t="s">
        <v>126</v>
      </c>
    </row>
    <row r="4" spans="2:19">
      <c r="B4" s="133" t="s">
        <v>57</v>
      </c>
      <c r="C4" s="134"/>
      <c r="D4" s="135" t="s">
        <v>58</v>
      </c>
      <c r="E4" s="17"/>
      <c r="F4" s="17"/>
      <c r="G4" s="119"/>
      <c r="H4" s="34"/>
      <c r="I4" s="148"/>
      <c r="J4" s="148"/>
      <c r="K4" s="148"/>
      <c r="L4" s="148"/>
      <c r="M4" s="148"/>
      <c r="N4" s="159"/>
      <c r="O4" s="166"/>
      <c r="P4" s="153"/>
      <c r="Q4" s="56"/>
      <c r="R4" s="65"/>
      <c r="S4" s="136"/>
    </row>
    <row r="5" spans="2:19">
      <c r="B5" s="137" t="s">
        <v>20</v>
      </c>
      <c r="C5" s="138"/>
      <c r="D5" s="132"/>
      <c r="E5" s="130" t="s">
        <v>0</v>
      </c>
      <c r="F5" s="132"/>
      <c r="G5" s="131"/>
      <c r="H5" s="43"/>
      <c r="I5" s="149"/>
      <c r="J5" s="149"/>
      <c r="K5" s="149"/>
      <c r="L5" s="149"/>
      <c r="M5" s="149"/>
      <c r="N5" s="160"/>
      <c r="O5" s="167"/>
      <c r="P5" s="154"/>
      <c r="Q5" s="57"/>
      <c r="R5" s="67"/>
      <c r="S5" s="139"/>
    </row>
    <row r="6" spans="2:19">
      <c r="B6" s="140" t="s">
        <v>33</v>
      </c>
      <c r="C6" s="141"/>
      <c r="D6" s="10"/>
      <c r="E6" s="10"/>
      <c r="F6" s="18" t="s">
        <v>9</v>
      </c>
      <c r="G6" s="120"/>
      <c r="H6" s="37"/>
      <c r="I6" s="150"/>
      <c r="J6" s="150"/>
      <c r="K6" s="150"/>
      <c r="L6" s="150"/>
      <c r="M6" s="150"/>
      <c r="N6" s="161"/>
      <c r="O6" s="156"/>
      <c r="P6" s="155"/>
      <c r="Q6" s="58"/>
      <c r="R6" s="68"/>
      <c r="S6" s="142"/>
    </row>
    <row r="7" spans="2:19" s="4" customFormat="1">
      <c r="B7" s="140" t="s">
        <v>153</v>
      </c>
      <c r="C7" s="141">
        <v>1</v>
      </c>
      <c r="D7" s="122"/>
      <c r="E7" s="122"/>
      <c r="F7" s="122" t="s">
        <v>147</v>
      </c>
      <c r="G7" s="172"/>
      <c r="H7" s="173"/>
      <c r="I7" s="174"/>
      <c r="J7" s="174"/>
      <c r="K7" s="174"/>
      <c r="L7" s="174"/>
      <c r="M7" s="174"/>
      <c r="N7" s="175"/>
      <c r="O7" s="176"/>
      <c r="P7" s="177"/>
      <c r="Q7" s="178"/>
      <c r="R7" s="179"/>
      <c r="S7" s="180"/>
    </row>
    <row r="8" spans="2:19" s="4" customFormat="1">
      <c r="B8" s="140" t="s">
        <v>151</v>
      </c>
      <c r="C8" s="141">
        <v>2</v>
      </c>
      <c r="D8" s="122"/>
      <c r="E8" s="122"/>
      <c r="F8" s="122" t="s">
        <v>148</v>
      </c>
      <c r="G8" s="172"/>
      <c r="H8" s="173"/>
      <c r="I8" s="174"/>
      <c r="J8" s="174"/>
      <c r="K8" s="174"/>
      <c r="L8" s="174"/>
      <c r="M8" s="174"/>
      <c r="N8" s="175"/>
      <c r="O8" s="176"/>
      <c r="P8" s="177"/>
      <c r="Q8" s="178"/>
      <c r="R8" s="179"/>
      <c r="S8" s="180"/>
    </row>
    <row r="9" spans="2:19" s="4" customFormat="1">
      <c r="B9" s="140" t="s">
        <v>152</v>
      </c>
      <c r="C9" s="141">
        <v>3</v>
      </c>
      <c r="D9" s="122"/>
      <c r="E9" s="122"/>
      <c r="F9" s="122" t="s">
        <v>149</v>
      </c>
      <c r="G9" s="172"/>
      <c r="H9" s="173"/>
      <c r="I9" s="174"/>
      <c r="J9" s="174"/>
      <c r="K9" s="174"/>
      <c r="L9" s="174"/>
      <c r="M9" s="174"/>
      <c r="N9" s="175"/>
      <c r="O9" s="176"/>
      <c r="P9" s="177"/>
      <c r="Q9" s="178"/>
      <c r="R9" s="179"/>
      <c r="S9" s="180"/>
    </row>
    <row r="10" spans="2:19">
      <c r="B10" s="137" t="s">
        <v>34</v>
      </c>
      <c r="C10" s="138"/>
      <c r="D10" s="132"/>
      <c r="E10" s="132"/>
      <c r="F10" s="130" t="s">
        <v>10</v>
      </c>
      <c r="G10" s="131"/>
      <c r="H10" s="43"/>
      <c r="I10" s="149"/>
      <c r="J10" s="149"/>
      <c r="K10" s="149"/>
      <c r="L10" s="149"/>
      <c r="M10" s="149"/>
      <c r="N10" s="160"/>
      <c r="O10" s="167"/>
      <c r="P10" s="154"/>
      <c r="Q10" s="57"/>
      <c r="R10" s="67"/>
      <c r="S10" s="139"/>
    </row>
    <row r="11" spans="2:19" s="4" customFormat="1">
      <c r="B11" s="171"/>
      <c r="C11" s="141">
        <v>1</v>
      </c>
      <c r="D11" s="122"/>
      <c r="E11" s="122"/>
      <c r="F11" s="122" t="s">
        <v>147</v>
      </c>
      <c r="G11" s="172"/>
      <c r="H11" s="173"/>
      <c r="I11" s="174"/>
      <c r="J11" s="174"/>
      <c r="K11" s="174"/>
      <c r="L11" s="174"/>
      <c r="M11" s="174"/>
      <c r="N11" s="175"/>
      <c r="O11" s="176"/>
      <c r="P11" s="177"/>
      <c r="Q11" s="178"/>
      <c r="R11" s="179"/>
      <c r="S11" s="180"/>
    </row>
    <row r="12" spans="2:19" s="4" customFormat="1">
      <c r="B12" s="171"/>
      <c r="C12" s="141">
        <v>2</v>
      </c>
      <c r="D12" s="122"/>
      <c r="E12" s="122"/>
      <c r="F12" s="122" t="s">
        <v>148</v>
      </c>
      <c r="G12" s="172"/>
      <c r="H12" s="173"/>
      <c r="I12" s="174"/>
      <c r="J12" s="174"/>
      <c r="K12" s="174"/>
      <c r="L12" s="174"/>
      <c r="M12" s="174"/>
      <c r="N12" s="175"/>
      <c r="O12" s="176"/>
      <c r="P12" s="177"/>
      <c r="Q12" s="178"/>
      <c r="R12" s="179"/>
      <c r="S12" s="180"/>
    </row>
    <row r="13" spans="2:19" s="4" customFormat="1">
      <c r="B13" s="171"/>
      <c r="C13" s="141">
        <v>3</v>
      </c>
      <c r="D13" s="122"/>
      <c r="E13" s="122"/>
      <c r="F13" s="122" t="s">
        <v>149</v>
      </c>
      <c r="G13" s="172"/>
      <c r="H13" s="173"/>
      <c r="I13" s="174"/>
      <c r="J13" s="174"/>
      <c r="K13" s="174"/>
      <c r="L13" s="174"/>
      <c r="M13" s="174"/>
      <c r="N13" s="175"/>
      <c r="O13" s="176"/>
      <c r="P13" s="177"/>
      <c r="Q13" s="178"/>
      <c r="R13" s="179"/>
      <c r="S13" s="180"/>
    </row>
    <row r="14" spans="2:19">
      <c r="B14" s="137" t="s">
        <v>21</v>
      </c>
      <c r="C14" s="138"/>
      <c r="D14" s="132"/>
      <c r="E14" s="130" t="s">
        <v>54</v>
      </c>
      <c r="F14" s="132"/>
      <c r="G14" s="131"/>
      <c r="H14" s="43"/>
      <c r="I14" s="149"/>
      <c r="J14" s="149"/>
      <c r="K14" s="149"/>
      <c r="L14" s="149"/>
      <c r="M14" s="149"/>
      <c r="N14" s="160"/>
      <c r="O14" s="167"/>
      <c r="P14" s="154"/>
      <c r="Q14" s="57"/>
      <c r="R14" s="67"/>
      <c r="S14" s="139"/>
    </row>
    <row r="15" spans="2:19">
      <c r="B15" s="140" t="s">
        <v>35</v>
      </c>
      <c r="C15" s="141"/>
      <c r="D15" s="10"/>
      <c r="E15" s="10"/>
      <c r="F15" s="10" t="s">
        <v>55</v>
      </c>
      <c r="G15" s="120"/>
      <c r="H15" s="37"/>
      <c r="I15" s="150"/>
      <c r="J15" s="150"/>
      <c r="K15" s="150"/>
      <c r="L15" s="150"/>
      <c r="M15" s="150"/>
      <c r="N15" s="161"/>
      <c r="O15" s="156"/>
      <c r="P15" s="155"/>
      <c r="Q15" s="58"/>
      <c r="R15" s="68"/>
      <c r="S15" s="142"/>
    </row>
    <row r="16" spans="2:19" s="4" customFormat="1">
      <c r="B16" s="171"/>
      <c r="C16" s="141">
        <v>1</v>
      </c>
      <c r="D16" s="122"/>
      <c r="E16" s="122"/>
      <c r="F16" s="122" t="s">
        <v>147</v>
      </c>
      <c r="G16" s="172"/>
      <c r="H16" s="173"/>
      <c r="I16" s="174"/>
      <c r="J16" s="174"/>
      <c r="K16" s="174"/>
      <c r="L16" s="174"/>
      <c r="M16" s="174"/>
      <c r="N16" s="175"/>
      <c r="O16" s="176"/>
      <c r="P16" s="177"/>
      <c r="Q16" s="178"/>
      <c r="R16" s="179"/>
      <c r="S16" s="180"/>
    </row>
    <row r="17" spans="2:19" s="4" customFormat="1">
      <c r="B17" s="171"/>
      <c r="C17" s="141">
        <v>2</v>
      </c>
      <c r="D17" s="122"/>
      <c r="E17" s="122"/>
      <c r="F17" s="122" t="s">
        <v>148</v>
      </c>
      <c r="G17" s="172"/>
      <c r="H17" s="173"/>
      <c r="I17" s="174"/>
      <c r="J17" s="174"/>
      <c r="K17" s="174"/>
      <c r="L17" s="174"/>
      <c r="M17" s="174"/>
      <c r="N17" s="175"/>
      <c r="O17" s="176"/>
      <c r="P17" s="177"/>
      <c r="Q17" s="178"/>
      <c r="R17" s="179"/>
      <c r="S17" s="180"/>
    </row>
    <row r="18" spans="2:19" s="4" customFormat="1">
      <c r="B18" s="171"/>
      <c r="C18" s="141">
        <v>3</v>
      </c>
      <c r="D18" s="122"/>
      <c r="E18" s="122"/>
      <c r="F18" s="122" t="s">
        <v>149</v>
      </c>
      <c r="G18" s="172"/>
      <c r="H18" s="173"/>
      <c r="I18" s="174"/>
      <c r="J18" s="174"/>
      <c r="K18" s="174"/>
      <c r="L18" s="174"/>
      <c r="M18" s="174"/>
      <c r="N18" s="175"/>
      <c r="O18" s="176"/>
      <c r="P18" s="177"/>
      <c r="Q18" s="178"/>
      <c r="R18" s="179"/>
      <c r="S18" s="180"/>
    </row>
    <row r="19" spans="2:19">
      <c r="B19" s="137" t="s">
        <v>36</v>
      </c>
      <c r="C19" s="138"/>
      <c r="D19" s="132"/>
      <c r="E19" s="132"/>
      <c r="F19" s="132" t="s">
        <v>56</v>
      </c>
      <c r="G19" s="131"/>
      <c r="H19" s="43"/>
      <c r="I19" s="149"/>
      <c r="J19" s="149"/>
      <c r="K19" s="149"/>
      <c r="L19" s="149"/>
      <c r="M19" s="149"/>
      <c r="N19" s="160"/>
      <c r="O19" s="167"/>
      <c r="P19" s="154"/>
      <c r="Q19" s="57"/>
      <c r="R19" s="67"/>
      <c r="S19" s="139"/>
    </row>
    <row r="20" spans="2:19" s="4" customFormat="1">
      <c r="B20" s="171"/>
      <c r="C20" s="141">
        <v>1</v>
      </c>
      <c r="D20" s="122"/>
      <c r="E20" s="122"/>
      <c r="F20" s="122" t="s">
        <v>147</v>
      </c>
      <c r="G20" s="172"/>
      <c r="H20" s="173"/>
      <c r="I20" s="174"/>
      <c r="J20" s="174"/>
      <c r="K20" s="174"/>
      <c r="L20" s="174"/>
      <c r="M20" s="174"/>
      <c r="N20" s="175"/>
      <c r="O20" s="176"/>
      <c r="P20" s="177"/>
      <c r="Q20" s="178"/>
      <c r="R20" s="179"/>
      <c r="S20" s="180"/>
    </row>
    <row r="21" spans="2:19" s="4" customFormat="1">
      <c r="B21" s="171"/>
      <c r="C21" s="141">
        <v>2</v>
      </c>
      <c r="D21" s="122"/>
      <c r="E21" s="122"/>
      <c r="F21" s="122" t="s">
        <v>148</v>
      </c>
      <c r="G21" s="172"/>
      <c r="H21" s="173"/>
      <c r="I21" s="174"/>
      <c r="J21" s="174"/>
      <c r="K21" s="174"/>
      <c r="L21" s="174"/>
      <c r="M21" s="174"/>
      <c r="N21" s="175"/>
      <c r="O21" s="176"/>
      <c r="P21" s="177"/>
      <c r="Q21" s="178"/>
      <c r="R21" s="179"/>
      <c r="S21" s="180"/>
    </row>
    <row r="22" spans="2:19" s="4" customFormat="1">
      <c r="B22" s="171"/>
      <c r="C22" s="141">
        <v>3</v>
      </c>
      <c r="D22" s="122"/>
      <c r="E22" s="122"/>
      <c r="F22" s="122" t="s">
        <v>149</v>
      </c>
      <c r="G22" s="172"/>
      <c r="H22" s="173"/>
      <c r="I22" s="174"/>
      <c r="J22" s="174"/>
      <c r="K22" s="174"/>
      <c r="L22" s="174"/>
      <c r="M22" s="174"/>
      <c r="N22" s="175"/>
      <c r="O22" s="176"/>
      <c r="P22" s="177"/>
      <c r="Q22" s="178"/>
      <c r="R22" s="179"/>
      <c r="S22" s="180"/>
    </row>
    <row r="23" spans="2:19">
      <c r="B23" s="137" t="s">
        <v>25</v>
      </c>
      <c r="C23" s="138"/>
      <c r="D23" s="132"/>
      <c r="E23" s="130" t="s">
        <v>42</v>
      </c>
      <c r="F23" s="132"/>
      <c r="G23" s="131"/>
      <c r="H23" s="43"/>
      <c r="I23" s="149"/>
      <c r="J23" s="149"/>
      <c r="K23" s="149"/>
      <c r="L23" s="149"/>
      <c r="M23" s="149"/>
      <c r="N23" s="160"/>
      <c r="O23" s="167"/>
      <c r="P23" s="154"/>
      <c r="Q23" s="57"/>
      <c r="R23" s="67"/>
      <c r="S23" s="139"/>
    </row>
    <row r="24" spans="2:19">
      <c r="B24" s="140" t="s">
        <v>43</v>
      </c>
      <c r="C24" s="141"/>
      <c r="D24" s="10"/>
      <c r="E24" s="10"/>
      <c r="F24" s="10" t="s">
        <v>15</v>
      </c>
      <c r="G24" s="120"/>
      <c r="H24" s="37"/>
      <c r="I24" s="150"/>
      <c r="J24" s="150"/>
      <c r="K24" s="150"/>
      <c r="L24" s="150"/>
      <c r="M24" s="150"/>
      <c r="N24" s="161"/>
      <c r="O24" s="156"/>
      <c r="P24" s="155"/>
      <c r="Q24" s="58"/>
      <c r="R24" s="68"/>
      <c r="S24" s="142"/>
    </row>
    <row r="25" spans="2:19" s="4" customFormat="1">
      <c r="B25" s="171"/>
      <c r="C25" s="141">
        <v>1</v>
      </c>
      <c r="D25" s="122"/>
      <c r="E25" s="122"/>
      <c r="F25" s="122" t="s">
        <v>147</v>
      </c>
      <c r="G25" s="172"/>
      <c r="H25" s="173"/>
      <c r="I25" s="174"/>
      <c r="J25" s="174"/>
      <c r="K25" s="174"/>
      <c r="L25" s="174"/>
      <c r="M25" s="174"/>
      <c r="N25" s="175"/>
      <c r="O25" s="176"/>
      <c r="P25" s="177"/>
      <c r="Q25" s="178"/>
      <c r="R25" s="179"/>
      <c r="S25" s="180"/>
    </row>
    <row r="26" spans="2:19" s="4" customFormat="1">
      <c r="B26" s="171"/>
      <c r="C26" s="141">
        <v>2</v>
      </c>
      <c r="D26" s="122"/>
      <c r="E26" s="122"/>
      <c r="F26" s="122" t="s">
        <v>148</v>
      </c>
      <c r="G26" s="172"/>
      <c r="H26" s="173"/>
      <c r="I26" s="174"/>
      <c r="J26" s="174"/>
      <c r="K26" s="174"/>
      <c r="L26" s="174"/>
      <c r="M26" s="174"/>
      <c r="N26" s="175"/>
      <c r="O26" s="176"/>
      <c r="P26" s="177"/>
      <c r="Q26" s="178"/>
      <c r="R26" s="179"/>
      <c r="S26" s="180"/>
    </row>
    <row r="27" spans="2:19" s="4" customFormat="1">
      <c r="B27" s="171"/>
      <c r="C27" s="141">
        <v>3</v>
      </c>
      <c r="D27" s="122"/>
      <c r="E27" s="122"/>
      <c r="F27" s="122" t="s">
        <v>149</v>
      </c>
      <c r="G27" s="172"/>
      <c r="H27" s="173"/>
      <c r="I27" s="174"/>
      <c r="J27" s="174"/>
      <c r="K27" s="174"/>
      <c r="L27" s="174"/>
      <c r="M27" s="174"/>
      <c r="N27" s="175"/>
      <c r="O27" s="176"/>
      <c r="P27" s="177"/>
      <c r="Q27" s="178"/>
      <c r="R27" s="179"/>
      <c r="S27" s="180"/>
    </row>
    <row r="28" spans="2:19">
      <c r="B28" s="137" t="s">
        <v>44</v>
      </c>
      <c r="C28" s="138"/>
      <c r="D28" s="132"/>
      <c r="E28" s="132"/>
      <c r="F28" s="132" t="s">
        <v>17</v>
      </c>
      <c r="G28" s="131"/>
      <c r="H28" s="43"/>
      <c r="I28" s="149"/>
      <c r="J28" s="149"/>
      <c r="K28" s="149"/>
      <c r="L28" s="149"/>
      <c r="M28" s="149"/>
      <c r="N28" s="160"/>
      <c r="O28" s="167"/>
      <c r="P28" s="154"/>
      <c r="Q28" s="57"/>
      <c r="R28" s="67"/>
      <c r="S28" s="139"/>
    </row>
    <row r="29" spans="2:19" s="4" customFormat="1">
      <c r="B29" s="171"/>
      <c r="C29" s="141">
        <v>1</v>
      </c>
      <c r="D29" s="122"/>
      <c r="E29" s="122"/>
      <c r="F29" s="122" t="s">
        <v>147</v>
      </c>
      <c r="G29" s="172"/>
      <c r="H29" s="173"/>
      <c r="I29" s="174"/>
      <c r="J29" s="174"/>
      <c r="K29" s="174"/>
      <c r="L29" s="174"/>
      <c r="M29" s="174"/>
      <c r="N29" s="175"/>
      <c r="O29" s="176"/>
      <c r="P29" s="177"/>
      <c r="Q29" s="178"/>
      <c r="R29" s="179"/>
      <c r="S29" s="180"/>
    </row>
    <row r="30" spans="2:19" s="4" customFormat="1">
      <c r="B30" s="171"/>
      <c r="C30" s="141">
        <v>2</v>
      </c>
      <c r="D30" s="122"/>
      <c r="E30" s="122"/>
      <c r="F30" s="122" t="s">
        <v>148</v>
      </c>
      <c r="G30" s="172"/>
      <c r="H30" s="173"/>
      <c r="I30" s="174"/>
      <c r="J30" s="174"/>
      <c r="K30" s="174"/>
      <c r="L30" s="174"/>
      <c r="M30" s="174"/>
      <c r="N30" s="175"/>
      <c r="O30" s="176"/>
      <c r="P30" s="177"/>
      <c r="Q30" s="178"/>
      <c r="R30" s="179"/>
      <c r="S30" s="180"/>
    </row>
    <row r="31" spans="2:19" s="4" customFormat="1">
      <c r="B31" s="171"/>
      <c r="C31" s="141">
        <v>3</v>
      </c>
      <c r="D31" s="122"/>
      <c r="E31" s="122"/>
      <c r="F31" s="122" t="s">
        <v>149</v>
      </c>
      <c r="G31" s="172"/>
      <c r="H31" s="173"/>
      <c r="I31" s="174"/>
      <c r="J31" s="174"/>
      <c r="K31" s="174"/>
      <c r="L31" s="174"/>
      <c r="M31" s="174"/>
      <c r="N31" s="175"/>
      <c r="O31" s="176"/>
      <c r="P31" s="177"/>
      <c r="Q31" s="178"/>
      <c r="R31" s="179"/>
      <c r="S31" s="180"/>
    </row>
    <row r="32" spans="2:19">
      <c r="B32" s="137" t="s">
        <v>45</v>
      </c>
      <c r="C32" s="138"/>
      <c r="D32" s="132"/>
      <c r="E32" s="132"/>
      <c r="F32" s="132" t="s">
        <v>16</v>
      </c>
      <c r="G32" s="131"/>
      <c r="H32" s="43"/>
      <c r="I32" s="149"/>
      <c r="J32" s="149"/>
      <c r="K32" s="149"/>
      <c r="L32" s="149"/>
      <c r="M32" s="149"/>
      <c r="N32" s="160"/>
      <c r="O32" s="167"/>
      <c r="P32" s="154"/>
      <c r="Q32" s="57"/>
      <c r="R32" s="67"/>
      <c r="S32" s="139"/>
    </row>
    <row r="33" spans="2:19" s="4" customFormat="1">
      <c r="B33" s="171"/>
      <c r="C33" s="141">
        <v>1</v>
      </c>
      <c r="D33" s="122"/>
      <c r="E33" s="122"/>
      <c r="F33" s="122" t="s">
        <v>147</v>
      </c>
      <c r="G33" s="172"/>
      <c r="H33" s="173"/>
      <c r="I33" s="174"/>
      <c r="J33" s="174"/>
      <c r="K33" s="174"/>
      <c r="L33" s="174"/>
      <c r="M33" s="174"/>
      <c r="N33" s="175"/>
      <c r="O33" s="176"/>
      <c r="P33" s="177"/>
      <c r="Q33" s="178"/>
      <c r="R33" s="179"/>
      <c r="S33" s="180"/>
    </row>
    <row r="34" spans="2:19" s="4" customFormat="1">
      <c r="B34" s="171"/>
      <c r="C34" s="141">
        <v>2</v>
      </c>
      <c r="D34" s="122"/>
      <c r="E34" s="122"/>
      <c r="F34" s="122" t="s">
        <v>148</v>
      </c>
      <c r="G34" s="172"/>
      <c r="H34" s="173"/>
      <c r="I34" s="174"/>
      <c r="J34" s="174"/>
      <c r="K34" s="174"/>
      <c r="L34" s="174"/>
      <c r="M34" s="174"/>
      <c r="N34" s="175"/>
      <c r="O34" s="176"/>
      <c r="P34" s="177"/>
      <c r="Q34" s="178"/>
      <c r="R34" s="179"/>
      <c r="S34" s="180"/>
    </row>
    <row r="35" spans="2:19" s="4" customFormat="1">
      <c r="B35" s="171"/>
      <c r="C35" s="141">
        <v>3</v>
      </c>
      <c r="D35" s="122"/>
      <c r="E35" s="122"/>
      <c r="F35" s="122" t="s">
        <v>149</v>
      </c>
      <c r="G35" s="172"/>
      <c r="H35" s="173"/>
      <c r="I35" s="174"/>
      <c r="J35" s="174"/>
      <c r="K35" s="174"/>
      <c r="L35" s="174"/>
      <c r="M35" s="174"/>
      <c r="N35" s="175"/>
      <c r="O35" s="176"/>
      <c r="P35" s="177"/>
      <c r="Q35" s="178"/>
      <c r="R35" s="179"/>
      <c r="S35" s="180"/>
    </row>
    <row r="36" spans="2:19">
      <c r="B36" s="137" t="s">
        <v>59</v>
      </c>
      <c r="C36" s="138"/>
      <c r="D36" s="130" t="s">
        <v>1</v>
      </c>
      <c r="E36" s="132"/>
      <c r="F36" s="132"/>
      <c r="G36" s="131"/>
      <c r="H36" s="43"/>
      <c r="I36" s="149"/>
      <c r="J36" s="149"/>
      <c r="K36" s="149"/>
      <c r="L36" s="149"/>
      <c r="M36" s="149"/>
      <c r="N36" s="160"/>
      <c r="O36" s="167"/>
      <c r="P36" s="154"/>
      <c r="Q36" s="57"/>
      <c r="R36" s="67"/>
      <c r="S36" s="139"/>
    </row>
    <row r="37" spans="2:19">
      <c r="B37" s="140" t="s">
        <v>26</v>
      </c>
      <c r="C37" s="141"/>
      <c r="D37" s="10"/>
      <c r="E37" s="18" t="s">
        <v>46</v>
      </c>
      <c r="F37" s="10"/>
      <c r="G37" s="120"/>
      <c r="H37" s="43"/>
      <c r="I37" s="149"/>
      <c r="J37" s="149"/>
      <c r="K37" s="149"/>
      <c r="L37" s="149"/>
      <c r="M37" s="149"/>
      <c r="N37" s="160"/>
      <c r="O37" s="167"/>
      <c r="P37" s="154"/>
      <c r="Q37" s="57"/>
      <c r="R37" s="67"/>
      <c r="S37" s="139"/>
    </row>
    <row r="38" spans="2:19">
      <c r="B38" s="140" t="s">
        <v>49</v>
      </c>
      <c r="C38" s="141"/>
      <c r="D38" s="10"/>
      <c r="E38" s="10"/>
      <c r="F38" s="10" t="s">
        <v>47</v>
      </c>
      <c r="G38" s="120"/>
      <c r="H38" s="37"/>
      <c r="I38" s="150"/>
      <c r="J38" s="150"/>
      <c r="K38" s="150"/>
      <c r="L38" s="150"/>
      <c r="M38" s="150"/>
      <c r="N38" s="161"/>
      <c r="O38" s="156"/>
      <c r="P38" s="155"/>
      <c r="Q38" s="58"/>
      <c r="R38" s="68"/>
      <c r="S38" s="142"/>
    </row>
    <row r="39" spans="2:19">
      <c r="B39" s="140" t="s">
        <v>50</v>
      </c>
      <c r="C39" s="141"/>
      <c r="D39" s="10"/>
      <c r="E39" s="10"/>
      <c r="F39" s="10" t="s">
        <v>68</v>
      </c>
      <c r="G39" s="120"/>
      <c r="H39" s="37"/>
      <c r="I39" s="150"/>
      <c r="J39" s="150"/>
      <c r="K39" s="150"/>
      <c r="L39" s="150"/>
      <c r="M39" s="150"/>
      <c r="N39" s="161"/>
      <c r="O39" s="156"/>
      <c r="P39" s="155"/>
      <c r="Q39" s="58"/>
      <c r="R39" s="68"/>
      <c r="S39" s="142"/>
    </row>
    <row r="40" spans="2:19">
      <c r="B40" s="140" t="s">
        <v>51</v>
      </c>
      <c r="C40" s="141"/>
      <c r="D40" s="10"/>
      <c r="E40" s="10"/>
      <c r="F40" s="10" t="s">
        <v>48</v>
      </c>
      <c r="G40" s="120"/>
      <c r="H40" s="37"/>
      <c r="I40" s="150"/>
      <c r="J40" s="150"/>
      <c r="K40" s="150"/>
      <c r="L40" s="150"/>
      <c r="M40" s="150"/>
      <c r="N40" s="161"/>
      <c r="O40" s="156"/>
      <c r="P40" s="155"/>
      <c r="Q40" s="58"/>
      <c r="R40" s="68"/>
      <c r="S40" s="142"/>
    </row>
    <row r="41" spans="2:19">
      <c r="B41" s="140" t="s">
        <v>27</v>
      </c>
      <c r="C41" s="141"/>
      <c r="D41" s="10"/>
      <c r="E41" s="18" t="s">
        <v>71</v>
      </c>
      <c r="F41" s="10"/>
      <c r="G41" s="120"/>
      <c r="H41" s="43"/>
      <c r="I41" s="149"/>
      <c r="J41" s="149"/>
      <c r="K41" s="149"/>
      <c r="L41" s="149"/>
      <c r="M41" s="149"/>
      <c r="N41" s="160"/>
      <c r="O41" s="167"/>
      <c r="P41" s="154"/>
      <c r="Q41" s="57"/>
      <c r="R41" s="67"/>
      <c r="S41" s="139"/>
    </row>
    <row r="42" spans="2:19">
      <c r="B42" s="140" t="s">
        <v>53</v>
      </c>
      <c r="C42" s="141"/>
      <c r="D42" s="10"/>
      <c r="E42" s="10"/>
      <c r="F42" s="10" t="s">
        <v>69</v>
      </c>
      <c r="G42" s="120"/>
      <c r="H42" s="37"/>
      <c r="I42" s="150"/>
      <c r="J42" s="150"/>
      <c r="K42" s="150"/>
      <c r="L42" s="150"/>
      <c r="M42" s="150"/>
      <c r="N42" s="161"/>
      <c r="O42" s="156"/>
      <c r="P42" s="155"/>
      <c r="Q42" s="58"/>
      <c r="R42" s="68"/>
      <c r="S42" s="142"/>
    </row>
    <row r="43" spans="2:19">
      <c r="B43" s="140" t="s">
        <v>52</v>
      </c>
      <c r="C43" s="141"/>
      <c r="D43" s="10"/>
      <c r="E43" s="10"/>
      <c r="F43" s="10" t="s">
        <v>73</v>
      </c>
      <c r="G43" s="120"/>
      <c r="H43" s="37"/>
      <c r="I43" s="150"/>
      <c r="J43" s="150"/>
      <c r="K43" s="150"/>
      <c r="L43" s="150"/>
      <c r="M43" s="150"/>
      <c r="N43" s="161"/>
      <c r="O43" s="156"/>
      <c r="P43" s="155"/>
      <c r="Q43" s="58"/>
      <c r="R43" s="68"/>
      <c r="S43" s="142"/>
    </row>
    <row r="44" spans="2:19">
      <c r="B44" s="140" t="s">
        <v>72</v>
      </c>
      <c r="C44" s="141"/>
      <c r="D44" s="10"/>
      <c r="E44" s="10"/>
      <c r="F44" s="10" t="s">
        <v>70</v>
      </c>
      <c r="G44" s="120"/>
      <c r="H44" s="37"/>
      <c r="I44" s="150"/>
      <c r="J44" s="150"/>
      <c r="K44" s="150"/>
      <c r="L44" s="150"/>
      <c r="M44" s="150"/>
      <c r="N44" s="161"/>
      <c r="O44" s="156"/>
      <c r="P44" s="155"/>
      <c r="Q44" s="58"/>
      <c r="R44" s="68"/>
      <c r="S44" s="142"/>
    </row>
    <row r="45" spans="2:19">
      <c r="B45" s="137" t="s">
        <v>60</v>
      </c>
      <c r="C45" s="138"/>
      <c r="D45" s="130" t="s">
        <v>4</v>
      </c>
      <c r="E45" s="132"/>
      <c r="F45" s="132"/>
      <c r="G45" s="131"/>
      <c r="H45" s="43"/>
      <c r="I45" s="149"/>
      <c r="J45" s="149"/>
      <c r="K45" s="149"/>
      <c r="L45" s="149"/>
      <c r="M45" s="149"/>
      <c r="N45" s="160"/>
      <c r="O45" s="167"/>
      <c r="P45" s="154"/>
      <c r="Q45" s="57"/>
      <c r="R45" s="67"/>
      <c r="S45" s="139"/>
    </row>
    <row r="46" spans="2:19">
      <c r="B46" s="140" t="s">
        <v>28</v>
      </c>
      <c r="C46" s="141"/>
      <c r="D46" s="10"/>
      <c r="E46" s="18" t="s">
        <v>7</v>
      </c>
      <c r="F46" s="10"/>
      <c r="G46" s="120"/>
      <c r="H46" s="37"/>
      <c r="I46" s="150"/>
      <c r="J46" s="150"/>
      <c r="K46" s="150"/>
      <c r="L46" s="150"/>
      <c r="M46" s="150"/>
      <c r="N46" s="161"/>
      <c r="O46" s="156"/>
      <c r="P46" s="155"/>
      <c r="Q46" s="58"/>
      <c r="R46" s="68"/>
      <c r="S46" s="142"/>
    </row>
    <row r="47" spans="2:19">
      <c r="B47" s="140" t="s">
        <v>29</v>
      </c>
      <c r="C47" s="141"/>
      <c r="D47" s="10"/>
      <c r="E47" s="18" t="s">
        <v>8</v>
      </c>
      <c r="F47" s="10"/>
      <c r="G47" s="120"/>
      <c r="H47" s="37"/>
      <c r="I47" s="150"/>
      <c r="J47" s="150"/>
      <c r="K47" s="150"/>
      <c r="L47" s="150"/>
      <c r="M47" s="150"/>
      <c r="N47" s="161"/>
      <c r="O47" s="156"/>
      <c r="P47" s="155"/>
      <c r="Q47" s="58"/>
      <c r="R47" s="68"/>
      <c r="S47" s="142"/>
    </row>
    <row r="48" spans="2:19">
      <c r="B48" s="140" t="s">
        <v>30</v>
      </c>
      <c r="C48" s="141"/>
      <c r="D48" s="10"/>
      <c r="E48" s="18" t="s">
        <v>5</v>
      </c>
      <c r="F48" s="10"/>
      <c r="G48" s="120"/>
      <c r="H48" s="37"/>
      <c r="I48" s="150"/>
      <c r="J48" s="150"/>
      <c r="K48" s="150"/>
      <c r="L48" s="150"/>
      <c r="M48" s="150"/>
      <c r="N48" s="161"/>
      <c r="O48" s="156"/>
      <c r="P48" s="155"/>
      <c r="Q48" s="58"/>
      <c r="R48" s="68"/>
      <c r="S48" s="142"/>
    </row>
    <row r="49" spans="2:20">
      <c r="B49" s="140" t="s">
        <v>31</v>
      </c>
      <c r="C49" s="141"/>
      <c r="D49" s="10"/>
      <c r="E49" s="18" t="s">
        <v>18</v>
      </c>
      <c r="F49" s="10"/>
      <c r="G49" s="120"/>
      <c r="H49" s="156"/>
      <c r="I49" s="150"/>
      <c r="J49" s="150"/>
      <c r="K49" s="150"/>
      <c r="L49" s="150"/>
      <c r="M49" s="150"/>
      <c r="N49" s="161"/>
      <c r="O49" s="156"/>
      <c r="P49" s="155"/>
      <c r="Q49" s="147"/>
      <c r="R49" s="68"/>
      <c r="S49" s="142"/>
    </row>
    <row r="50" spans="2:20">
      <c r="B50" s="137" t="s">
        <v>61</v>
      </c>
      <c r="C50" s="138"/>
      <c r="D50" s="130" t="s">
        <v>11</v>
      </c>
      <c r="E50" s="132"/>
      <c r="F50" s="132"/>
      <c r="G50" s="131"/>
      <c r="H50" s="43"/>
      <c r="I50" s="149"/>
      <c r="J50" s="149"/>
      <c r="K50" s="149"/>
      <c r="L50" s="149"/>
      <c r="M50" s="149"/>
      <c r="N50" s="160"/>
      <c r="O50" s="167"/>
      <c r="P50" s="154"/>
      <c r="Q50" s="57"/>
      <c r="R50" s="67"/>
      <c r="S50" s="139"/>
    </row>
    <row r="51" spans="2:20">
      <c r="B51" s="140" t="s">
        <v>22</v>
      </c>
      <c r="C51" s="141"/>
      <c r="D51" s="10"/>
      <c r="E51" s="18" t="s">
        <v>11</v>
      </c>
      <c r="F51" s="10"/>
      <c r="G51" s="120"/>
      <c r="H51" s="37"/>
      <c r="I51" s="150"/>
      <c r="J51" s="150"/>
      <c r="K51" s="150"/>
      <c r="L51" s="150"/>
      <c r="M51" s="150"/>
      <c r="N51" s="161"/>
      <c r="O51" s="156"/>
      <c r="P51" s="155"/>
      <c r="Q51" s="58"/>
      <c r="R51" s="68"/>
      <c r="S51" s="142"/>
    </row>
    <row r="52" spans="2:20">
      <c r="B52" s="140" t="s">
        <v>62</v>
      </c>
      <c r="C52" s="141"/>
      <c r="D52" s="10"/>
      <c r="E52" s="18" t="s">
        <v>63</v>
      </c>
      <c r="F52" s="10"/>
      <c r="G52" s="120"/>
      <c r="H52" s="37"/>
      <c r="I52" s="150"/>
      <c r="J52" s="150"/>
      <c r="K52" s="150"/>
      <c r="L52" s="150"/>
      <c r="M52" s="150"/>
      <c r="N52" s="161"/>
      <c r="O52" s="156"/>
      <c r="P52" s="155"/>
      <c r="Q52" s="58"/>
      <c r="R52" s="68"/>
      <c r="S52" s="142"/>
    </row>
    <row r="53" spans="2:20">
      <c r="B53" s="137" t="s">
        <v>23</v>
      </c>
      <c r="C53" s="138"/>
      <c r="D53" s="130" t="s">
        <v>12</v>
      </c>
      <c r="E53" s="132"/>
      <c r="F53" s="132"/>
      <c r="G53" s="131"/>
      <c r="H53" s="43"/>
      <c r="I53" s="149"/>
      <c r="J53" s="149"/>
      <c r="K53" s="149"/>
      <c r="L53" s="149"/>
      <c r="M53" s="149"/>
      <c r="N53" s="160"/>
      <c r="O53" s="167"/>
      <c r="P53" s="154"/>
      <c r="Q53" s="57"/>
      <c r="R53" s="67"/>
      <c r="S53" s="139"/>
    </row>
    <row r="54" spans="2:20">
      <c r="B54" s="140" t="s">
        <v>23</v>
      </c>
      <c r="C54" s="141"/>
      <c r="D54" s="10"/>
      <c r="E54" s="18" t="s">
        <v>12</v>
      </c>
      <c r="F54" s="10"/>
      <c r="G54" s="120"/>
      <c r="H54" s="37"/>
      <c r="I54" s="150"/>
      <c r="J54" s="150"/>
      <c r="K54" s="150"/>
      <c r="L54" s="150"/>
      <c r="M54" s="150"/>
      <c r="N54" s="161"/>
      <c r="O54" s="156"/>
      <c r="P54" s="155"/>
      <c r="Q54" s="58"/>
      <c r="R54" s="68"/>
      <c r="S54" s="142"/>
      <c r="T54" s="4"/>
    </row>
    <row r="55" spans="2:20">
      <c r="B55" s="137"/>
      <c r="C55" s="138"/>
      <c r="D55" s="130" t="s">
        <v>74</v>
      </c>
      <c r="E55" s="132"/>
      <c r="F55" s="132"/>
      <c r="G55" s="131"/>
      <c r="H55" s="43"/>
      <c r="I55" s="149"/>
      <c r="J55" s="149"/>
      <c r="K55" s="149"/>
      <c r="L55" s="149"/>
      <c r="M55" s="149"/>
      <c r="N55" s="160"/>
      <c r="O55" s="167"/>
      <c r="P55" s="154"/>
      <c r="Q55" s="57"/>
      <c r="R55" s="67"/>
      <c r="S55" s="139"/>
    </row>
    <row r="56" spans="2:20">
      <c r="B56" s="140" t="s">
        <v>24</v>
      </c>
      <c r="C56" s="141"/>
      <c r="D56" s="18" t="s">
        <v>41</v>
      </c>
      <c r="E56" s="10"/>
      <c r="F56" s="10"/>
      <c r="G56" s="120"/>
      <c r="H56" s="43"/>
      <c r="I56" s="149"/>
      <c r="J56" s="149"/>
      <c r="K56" s="149"/>
      <c r="L56" s="149"/>
      <c r="M56" s="149"/>
      <c r="N56" s="160"/>
      <c r="O56" s="167"/>
      <c r="P56" s="154"/>
      <c r="Q56" s="57"/>
      <c r="R56" s="67"/>
      <c r="S56" s="139"/>
    </row>
    <row r="57" spans="2:20">
      <c r="B57" s="140" t="s">
        <v>37</v>
      </c>
      <c r="C57" s="141"/>
      <c r="D57" s="10"/>
      <c r="E57" s="10" t="s">
        <v>13</v>
      </c>
      <c r="F57" s="10"/>
      <c r="G57" s="120"/>
      <c r="H57" s="37"/>
      <c r="I57" s="150"/>
      <c r="J57" s="150"/>
      <c r="K57" s="150"/>
      <c r="L57" s="150"/>
      <c r="M57" s="150"/>
      <c r="N57" s="161"/>
      <c r="O57" s="156"/>
      <c r="P57" s="155"/>
      <c r="Q57" s="58"/>
      <c r="R57" s="68"/>
      <c r="S57" s="142"/>
    </row>
    <row r="58" spans="2:20">
      <c r="B58" s="140" t="s">
        <v>38</v>
      </c>
      <c r="C58" s="141"/>
      <c r="D58" s="10"/>
      <c r="E58" s="10" t="s">
        <v>14</v>
      </c>
      <c r="F58" s="10"/>
      <c r="G58" s="120"/>
      <c r="H58" s="37"/>
      <c r="I58" s="150"/>
      <c r="J58" s="150"/>
      <c r="K58" s="150"/>
      <c r="L58" s="150"/>
      <c r="M58" s="150"/>
      <c r="N58" s="161"/>
      <c r="O58" s="156"/>
      <c r="P58" s="155"/>
      <c r="Q58" s="58"/>
      <c r="R58" s="68"/>
      <c r="S58" s="142"/>
    </row>
    <row r="59" spans="2:20">
      <c r="B59" s="140" t="s">
        <v>39</v>
      </c>
      <c r="C59" s="141"/>
      <c r="D59" s="10"/>
      <c r="E59" s="10" t="s">
        <v>40</v>
      </c>
      <c r="F59" s="10"/>
      <c r="G59" s="120"/>
      <c r="H59" s="37"/>
      <c r="I59" s="150"/>
      <c r="J59" s="150"/>
      <c r="K59" s="150"/>
      <c r="L59" s="150"/>
      <c r="M59" s="150"/>
      <c r="N59" s="161"/>
      <c r="O59" s="156"/>
      <c r="P59" s="155"/>
      <c r="Q59" s="58"/>
      <c r="R59" s="68"/>
      <c r="S59" s="142"/>
    </row>
    <row r="60" spans="2:20">
      <c r="B60" s="140" t="s">
        <v>75</v>
      </c>
      <c r="C60" s="141"/>
      <c r="D60" s="18" t="s">
        <v>66</v>
      </c>
      <c r="E60" s="10"/>
      <c r="F60" s="10"/>
      <c r="G60" s="120"/>
      <c r="H60" s="43"/>
      <c r="I60" s="149"/>
      <c r="J60" s="149"/>
      <c r="K60" s="149"/>
      <c r="L60" s="149"/>
      <c r="M60" s="149"/>
      <c r="N60" s="160"/>
      <c r="O60" s="167"/>
      <c r="P60" s="154"/>
      <c r="Q60" s="57"/>
      <c r="R60" s="67"/>
      <c r="S60" s="139"/>
    </row>
    <row r="61" spans="2:20">
      <c r="B61" s="140" t="s">
        <v>32</v>
      </c>
      <c r="C61" s="141"/>
      <c r="D61" s="10"/>
      <c r="E61" s="10" t="s">
        <v>19</v>
      </c>
      <c r="F61" s="10"/>
      <c r="G61" s="120"/>
      <c r="H61" s="80"/>
      <c r="I61" s="151"/>
      <c r="J61" s="151"/>
      <c r="K61" s="151"/>
      <c r="L61" s="151"/>
      <c r="M61" s="151"/>
      <c r="N61" s="162"/>
      <c r="O61" s="168"/>
      <c r="P61" s="157"/>
      <c r="Q61" s="71"/>
      <c r="R61" s="73"/>
      <c r="S61" s="143"/>
    </row>
    <row r="62" spans="2:20">
      <c r="B62" s="140" t="s">
        <v>64</v>
      </c>
      <c r="C62" s="141"/>
      <c r="D62" s="10"/>
      <c r="E62" s="10" t="s">
        <v>6</v>
      </c>
      <c r="F62" s="10"/>
      <c r="G62" s="120"/>
      <c r="H62" s="37"/>
      <c r="I62" s="150"/>
      <c r="J62" s="150"/>
      <c r="K62" s="150"/>
      <c r="L62" s="150"/>
      <c r="M62" s="150"/>
      <c r="N62" s="161"/>
      <c r="O62" s="156"/>
      <c r="P62" s="155"/>
      <c r="Q62" s="71"/>
      <c r="R62" s="73"/>
      <c r="S62" s="143"/>
    </row>
    <row r="63" spans="2:20" ht="13.5" thickBot="1">
      <c r="B63" s="144" t="s">
        <v>65</v>
      </c>
      <c r="C63" s="145"/>
      <c r="D63" s="11"/>
      <c r="E63" s="11" t="s">
        <v>116</v>
      </c>
      <c r="F63" s="11"/>
      <c r="G63" s="121"/>
      <c r="H63" s="40"/>
      <c r="I63" s="152"/>
      <c r="J63" s="152"/>
      <c r="K63" s="152"/>
      <c r="L63" s="152"/>
      <c r="M63" s="152"/>
      <c r="N63" s="163"/>
      <c r="O63" s="169"/>
      <c r="P63" s="158"/>
      <c r="Q63" s="74"/>
      <c r="R63" s="76"/>
      <c r="S63" s="146"/>
    </row>
    <row r="64" spans="2:20"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Q2:R2"/>
    <mergeCell ref="H2:P2"/>
    <mergeCell ref="H1:J1"/>
    <mergeCell ref="Q1:S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AE43"/>
  <sheetViews>
    <sheetView topLeftCell="D1" zoomScale="90" zoomScaleNormal="90" workbookViewId="0">
      <selection activeCell="K6" sqref="K6"/>
    </sheetView>
  </sheetViews>
  <sheetFormatPr defaultColWidth="9.140625" defaultRowHeight="12.75"/>
  <cols>
    <col min="1" max="2" width="9.140625" style="2"/>
    <col min="3" max="3" width="7" style="2" customWidth="1"/>
    <col min="4" max="4" width="10.7109375" style="2" customWidth="1"/>
    <col min="5" max="5" width="48.7109375" style="2" customWidth="1"/>
    <col min="6" max="6" width="10.85546875" style="2" customWidth="1"/>
    <col min="7" max="7" width="13.140625" style="2" customWidth="1"/>
    <col min="8" max="15" width="10.85546875" style="2" customWidth="1"/>
    <col min="16" max="16" width="2" style="2" customWidth="1"/>
    <col min="17" max="18" width="10.85546875" style="2" customWidth="1"/>
    <col min="19" max="19" width="2.7109375" style="2" customWidth="1"/>
    <col min="20" max="22" width="12.7109375" style="2" customWidth="1"/>
    <col min="23" max="23" width="2.42578125" style="2" customWidth="1"/>
    <col min="24" max="26" width="12.7109375" style="2" customWidth="1"/>
    <col min="27" max="27" width="1.42578125" style="2" customWidth="1"/>
    <col min="28" max="28" width="11.5703125" style="2" customWidth="1"/>
    <col min="29" max="29" width="10.85546875" style="2" customWidth="1"/>
    <col min="30" max="30" width="2.85546875" style="2" customWidth="1"/>
    <col min="31" max="31" width="14.140625" style="2" customWidth="1"/>
    <col min="32" max="16384" width="9.140625" style="2"/>
  </cols>
  <sheetData>
    <row r="1" spans="2:31" ht="31.5" customHeight="1" thickBot="1">
      <c r="F1" s="585" t="s">
        <v>94</v>
      </c>
      <c r="G1" s="586"/>
      <c r="H1" s="586"/>
      <c r="I1" s="586"/>
      <c r="J1" s="586"/>
      <c r="K1" s="586"/>
      <c r="L1" s="586"/>
      <c r="M1" s="586"/>
      <c r="N1" s="586"/>
      <c r="O1" s="586"/>
      <c r="Q1" s="585" t="s">
        <v>93</v>
      </c>
      <c r="R1" s="586"/>
      <c r="S1" s="5"/>
      <c r="T1" s="587" t="s">
        <v>105</v>
      </c>
      <c r="U1" s="587"/>
      <c r="V1" s="587"/>
      <c r="W1" s="5"/>
      <c r="X1" s="588" t="s">
        <v>118</v>
      </c>
      <c r="Y1" s="588"/>
      <c r="Z1" s="588"/>
      <c r="AA1" s="5"/>
      <c r="AB1" s="589" t="s">
        <v>92</v>
      </c>
      <c r="AC1" s="590"/>
    </row>
    <row r="2" spans="2:31" s="13" customFormat="1" ht="51.75" thickBot="1">
      <c r="B2" s="22" t="s">
        <v>76</v>
      </c>
      <c r="C2" s="23" t="s">
        <v>2</v>
      </c>
      <c r="D2" s="23" t="s">
        <v>3</v>
      </c>
      <c r="E2" s="24" t="s">
        <v>67</v>
      </c>
      <c r="F2" s="25" t="s">
        <v>80</v>
      </c>
      <c r="G2" s="25" t="s">
        <v>79</v>
      </c>
      <c r="H2" s="25" t="s">
        <v>78</v>
      </c>
      <c r="I2" s="25" t="s">
        <v>83</v>
      </c>
      <c r="J2" s="25" t="s">
        <v>82</v>
      </c>
      <c r="K2" s="25" t="s">
        <v>84</v>
      </c>
      <c r="L2" s="25" t="s">
        <v>85</v>
      </c>
      <c r="M2" s="25" t="s">
        <v>87</v>
      </c>
      <c r="N2" s="25" t="s">
        <v>207</v>
      </c>
      <c r="O2" s="26" t="s">
        <v>208</v>
      </c>
      <c r="P2" s="21"/>
      <c r="Q2" s="27" t="s">
        <v>90</v>
      </c>
      <c r="R2" s="26" t="s">
        <v>91</v>
      </c>
      <c r="S2" s="21"/>
      <c r="T2" s="26" t="s">
        <v>108</v>
      </c>
      <c r="U2" s="26" t="s">
        <v>106</v>
      </c>
      <c r="V2" s="26" t="s">
        <v>107</v>
      </c>
      <c r="W2" s="21"/>
      <c r="X2" s="26" t="s">
        <v>108</v>
      </c>
      <c r="Y2" s="26" t="s">
        <v>106</v>
      </c>
      <c r="Z2" s="26" t="s">
        <v>107</v>
      </c>
      <c r="AA2" s="21"/>
      <c r="AB2" s="27" t="s">
        <v>77</v>
      </c>
      <c r="AC2" s="26" t="s">
        <v>81</v>
      </c>
      <c r="AE2" s="27" t="s">
        <v>119</v>
      </c>
    </row>
    <row r="3" spans="2:31" s="13" customFormat="1" ht="14.25" customHeight="1" thickBot="1">
      <c r="B3" s="29"/>
      <c r="C3" s="29"/>
      <c r="D3" s="29"/>
      <c r="E3" s="29"/>
      <c r="F3" s="30" t="s">
        <v>104</v>
      </c>
      <c r="G3" s="30" t="s">
        <v>104</v>
      </c>
      <c r="H3" s="30" t="s">
        <v>104</v>
      </c>
      <c r="I3" s="30" t="s">
        <v>104</v>
      </c>
      <c r="J3" s="30" t="s">
        <v>104</v>
      </c>
      <c r="K3" s="30" t="s">
        <v>104</v>
      </c>
      <c r="L3" s="30" t="s">
        <v>104</v>
      </c>
      <c r="M3" s="30" t="s">
        <v>104</v>
      </c>
      <c r="N3" s="30" t="s">
        <v>104</v>
      </c>
      <c r="O3" s="30" t="s">
        <v>104</v>
      </c>
      <c r="Q3" s="30" t="s">
        <v>104</v>
      </c>
      <c r="R3" s="30" t="s">
        <v>104</v>
      </c>
      <c r="T3" s="28" t="s">
        <v>89</v>
      </c>
      <c r="U3" s="28" t="s">
        <v>89</v>
      </c>
      <c r="V3" s="28" t="s">
        <v>89</v>
      </c>
      <c r="X3" s="28" t="s">
        <v>89</v>
      </c>
      <c r="Y3" s="28" t="s">
        <v>89</v>
      </c>
      <c r="Z3" s="28" t="s">
        <v>89</v>
      </c>
      <c r="AB3" s="30" t="s">
        <v>104</v>
      </c>
      <c r="AC3" s="30" t="s">
        <v>104</v>
      </c>
      <c r="AE3" s="30" t="s">
        <v>104</v>
      </c>
    </row>
    <row r="4" spans="2:31">
      <c r="B4" s="15" t="s">
        <v>57</v>
      </c>
      <c r="C4" s="16" t="s">
        <v>58</v>
      </c>
      <c r="D4" s="17"/>
      <c r="E4" s="17"/>
      <c r="F4" s="31"/>
      <c r="G4" s="31"/>
      <c r="H4" s="31"/>
      <c r="I4" s="31"/>
      <c r="J4" s="31"/>
      <c r="K4" s="31"/>
      <c r="L4" s="31"/>
      <c r="M4" s="31"/>
      <c r="N4" s="31"/>
      <c r="O4" s="32"/>
      <c r="P4" s="33"/>
      <c r="Q4" s="34"/>
      <c r="R4" s="32"/>
      <c r="S4" s="33"/>
      <c r="T4" s="56"/>
      <c r="U4" s="64"/>
      <c r="V4" s="65"/>
      <c r="W4" s="33"/>
      <c r="X4" s="56"/>
      <c r="Y4" s="64"/>
      <c r="Z4" s="65"/>
      <c r="AA4" s="33"/>
      <c r="AB4" s="34"/>
      <c r="AC4" s="32"/>
      <c r="AD4" s="45"/>
      <c r="AE4" s="45">
        <v>0</v>
      </c>
    </row>
    <row r="5" spans="2:31">
      <c r="B5" s="7" t="s">
        <v>20</v>
      </c>
      <c r="C5" s="1"/>
      <c r="D5" s="18" t="s">
        <v>0</v>
      </c>
      <c r="E5" s="10"/>
      <c r="F5" s="41"/>
      <c r="G5" s="41"/>
      <c r="H5" s="41"/>
      <c r="I5" s="41"/>
      <c r="J5" s="41"/>
      <c r="K5" s="41"/>
      <c r="L5" s="41"/>
      <c r="M5" s="41"/>
      <c r="N5" s="41"/>
      <c r="O5" s="42"/>
      <c r="P5" s="33"/>
      <c r="Q5" s="43"/>
      <c r="R5" s="42"/>
      <c r="S5" s="33"/>
      <c r="T5" s="57"/>
      <c r="U5" s="66"/>
      <c r="V5" s="67"/>
      <c r="W5" s="33"/>
      <c r="X5" s="57"/>
      <c r="Y5" s="66"/>
      <c r="Z5" s="67"/>
      <c r="AA5" s="33"/>
      <c r="AB5" s="43"/>
      <c r="AC5" s="42"/>
      <c r="AD5" s="45"/>
      <c r="AE5" s="45">
        <v>0</v>
      </c>
    </row>
    <row r="6" spans="2:31">
      <c r="B6" s="7" t="s">
        <v>33</v>
      </c>
      <c r="C6" s="1"/>
      <c r="D6" s="10"/>
      <c r="E6" s="10" t="s">
        <v>9</v>
      </c>
      <c r="F6" s="35">
        <f>IFERROR(VLOOKUP(F2,#REF!,14,FALSE),0)</f>
        <v>0</v>
      </c>
      <c r="G6" s="35">
        <f>IFERROR(VLOOKUP(G2,#REF!,14,FALSE),0)</f>
        <v>0</v>
      </c>
      <c r="H6" s="35">
        <f>IFERROR(VLOOKUP(H2,#REF!,14,FALSE),0)</f>
        <v>0</v>
      </c>
      <c r="I6" s="35">
        <f>IFERROR(VLOOKUP(I2,#REF!,14,FALSE),0)</f>
        <v>0</v>
      </c>
      <c r="J6" s="35">
        <f>IFERROR(VLOOKUP(J2,#REF!,14,FALSE),0)</f>
        <v>0</v>
      </c>
      <c r="K6" s="35">
        <f>IFERROR(VLOOKUP(K2,#REF!,14,FALSE),0)</f>
        <v>0</v>
      </c>
      <c r="L6" s="35">
        <f>IFERROR(VLOOKUP(L2,#REF!,14,FALSE),0)</f>
        <v>0</v>
      </c>
      <c r="M6" s="35">
        <f>IFERROR(VLOOKUP(M2,#REF!,14,FALSE),0)</f>
        <v>0</v>
      </c>
      <c r="N6" s="35">
        <f>IFERROR(VLOOKUP(N2,#REF!,14,FALSE),0)</f>
        <v>0</v>
      </c>
      <c r="O6" s="35">
        <f>IFERROR(VLOOKUP(O2,#REF!,14,FALSE),0)</f>
        <v>0</v>
      </c>
      <c r="P6" s="33"/>
      <c r="Q6" s="37">
        <f>IFERROR(VLOOKUP(Q2,#REF!,14,FALSE),0)</f>
        <v>0</v>
      </c>
      <c r="R6" s="36">
        <f>IFERROR(VLOOKUP(R2,#REF!,14,FALSE),0)</f>
        <v>0</v>
      </c>
      <c r="S6" s="33"/>
      <c r="T6" s="58"/>
      <c r="U6" s="63"/>
      <c r="V6" s="68"/>
      <c r="W6" s="33"/>
      <c r="X6" s="58"/>
      <c r="Y6" s="63"/>
      <c r="Z6" s="68"/>
      <c r="AA6" s="33"/>
      <c r="AB6" s="37"/>
      <c r="AC6" s="36"/>
      <c r="AD6" s="45"/>
      <c r="AE6" s="45">
        <v>0</v>
      </c>
    </row>
    <row r="7" spans="2:31">
      <c r="B7" s="7" t="s">
        <v>34</v>
      </c>
      <c r="C7" s="1"/>
      <c r="D7" s="10"/>
      <c r="E7" s="10" t="s">
        <v>10</v>
      </c>
      <c r="F7" s="35"/>
      <c r="G7" s="35"/>
      <c r="H7" s="35"/>
      <c r="I7" s="35"/>
      <c r="J7" s="35"/>
      <c r="K7" s="35"/>
      <c r="L7" s="35"/>
      <c r="M7" s="35"/>
      <c r="N7" s="35"/>
      <c r="O7" s="36"/>
      <c r="P7" s="33"/>
      <c r="Q7" s="37"/>
      <c r="R7" s="36"/>
      <c r="S7" s="33"/>
      <c r="T7" s="58"/>
      <c r="U7" s="63"/>
      <c r="V7" s="68"/>
      <c r="W7" s="33"/>
      <c r="X7" s="58"/>
      <c r="Y7" s="63"/>
      <c r="Z7" s="68"/>
      <c r="AA7" s="33"/>
      <c r="AB7" s="37"/>
      <c r="AC7" s="36"/>
      <c r="AD7" s="45"/>
      <c r="AE7" s="45">
        <v>0</v>
      </c>
    </row>
    <row r="8" spans="2:31">
      <c r="B8" s="7" t="s">
        <v>21</v>
      </c>
      <c r="C8" s="1"/>
      <c r="D8" s="18" t="s">
        <v>54</v>
      </c>
      <c r="E8" s="10"/>
      <c r="F8" s="41"/>
      <c r="G8" s="41"/>
      <c r="H8" s="41"/>
      <c r="I8" s="41"/>
      <c r="J8" s="41"/>
      <c r="K8" s="41"/>
      <c r="L8" s="41"/>
      <c r="M8" s="41"/>
      <c r="N8" s="41"/>
      <c r="O8" s="42"/>
      <c r="P8" s="33"/>
      <c r="Q8" s="43"/>
      <c r="R8" s="42"/>
      <c r="S8" s="33"/>
      <c r="T8" s="57"/>
      <c r="U8" s="66"/>
      <c r="V8" s="67"/>
      <c r="W8" s="33"/>
      <c r="X8" s="57"/>
      <c r="Y8" s="66"/>
      <c r="Z8" s="67"/>
      <c r="AA8" s="33"/>
      <c r="AB8" s="43"/>
      <c r="AC8" s="42"/>
      <c r="AD8" s="45"/>
      <c r="AE8" s="45">
        <v>0</v>
      </c>
    </row>
    <row r="9" spans="2:31">
      <c r="B9" s="7" t="s">
        <v>35</v>
      </c>
      <c r="C9" s="1"/>
      <c r="D9" s="10"/>
      <c r="E9" s="10" t="s">
        <v>55</v>
      </c>
      <c r="F9" s="35"/>
      <c r="G9" s="35"/>
      <c r="H9" s="35"/>
      <c r="I9" s="35"/>
      <c r="J9" s="35"/>
      <c r="K9" s="35"/>
      <c r="L9" s="35"/>
      <c r="M9" s="35"/>
      <c r="N9" s="35"/>
      <c r="O9" s="36"/>
      <c r="P9" s="33"/>
      <c r="Q9" s="37"/>
      <c r="R9" s="36"/>
      <c r="S9" s="33"/>
      <c r="T9" s="58"/>
      <c r="U9" s="63"/>
      <c r="V9" s="68"/>
      <c r="W9" s="33"/>
      <c r="X9" s="58"/>
      <c r="Y9" s="63"/>
      <c r="Z9" s="68"/>
      <c r="AA9" s="33"/>
      <c r="AB9" s="37"/>
      <c r="AC9" s="36"/>
      <c r="AD9" s="45"/>
      <c r="AE9" s="45">
        <v>0</v>
      </c>
    </row>
    <row r="10" spans="2:31">
      <c r="B10" s="7" t="s">
        <v>36</v>
      </c>
      <c r="C10" s="1"/>
      <c r="D10" s="10"/>
      <c r="E10" s="10" t="s">
        <v>56</v>
      </c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3"/>
      <c r="Q10" s="37"/>
      <c r="R10" s="36"/>
      <c r="S10" s="33"/>
      <c r="T10" s="58"/>
      <c r="U10" s="63"/>
      <c r="V10" s="68"/>
      <c r="W10" s="33"/>
      <c r="X10" s="58"/>
      <c r="Y10" s="63"/>
      <c r="Z10" s="68"/>
      <c r="AA10" s="33"/>
      <c r="AB10" s="37"/>
      <c r="AC10" s="36"/>
      <c r="AD10" s="45"/>
      <c r="AE10" s="45">
        <v>0</v>
      </c>
    </row>
    <row r="11" spans="2:31">
      <c r="B11" s="7" t="s">
        <v>25</v>
      </c>
      <c r="C11" s="1"/>
      <c r="D11" s="18" t="s">
        <v>42</v>
      </c>
      <c r="E11" s="10"/>
      <c r="F11" s="41"/>
      <c r="G11" s="41"/>
      <c r="H11" s="41"/>
      <c r="I11" s="41"/>
      <c r="J11" s="41"/>
      <c r="K11" s="41"/>
      <c r="L11" s="41"/>
      <c r="M11" s="41"/>
      <c r="N11" s="41"/>
      <c r="O11" s="42"/>
      <c r="P11" s="33"/>
      <c r="Q11" s="43"/>
      <c r="R11" s="42"/>
      <c r="S11" s="33"/>
      <c r="T11" s="57"/>
      <c r="U11" s="66"/>
      <c r="V11" s="67"/>
      <c r="W11" s="33"/>
      <c r="X11" s="57"/>
      <c r="Y11" s="66"/>
      <c r="Z11" s="67"/>
      <c r="AA11" s="33"/>
      <c r="AB11" s="43"/>
      <c r="AC11" s="42"/>
      <c r="AD11" s="45"/>
      <c r="AE11" s="45">
        <v>0</v>
      </c>
    </row>
    <row r="12" spans="2:31">
      <c r="B12" s="7" t="s">
        <v>43</v>
      </c>
      <c r="C12" s="1"/>
      <c r="D12" s="10"/>
      <c r="E12" s="10" t="s">
        <v>15</v>
      </c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3"/>
      <c r="Q12" s="37"/>
      <c r="R12" s="36"/>
      <c r="S12" s="33"/>
      <c r="T12" s="58"/>
      <c r="U12" s="63"/>
      <c r="V12" s="68"/>
      <c r="W12" s="33"/>
      <c r="X12" s="58"/>
      <c r="Y12" s="63"/>
      <c r="Z12" s="68"/>
      <c r="AA12" s="33"/>
      <c r="AB12" s="37"/>
      <c r="AC12" s="36"/>
      <c r="AD12" s="45"/>
      <c r="AE12" s="45">
        <v>0</v>
      </c>
    </row>
    <row r="13" spans="2:31">
      <c r="B13" s="7" t="s">
        <v>44</v>
      </c>
      <c r="C13" s="1"/>
      <c r="D13" s="10"/>
      <c r="E13" s="10" t="s">
        <v>17</v>
      </c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3"/>
      <c r="Q13" s="37"/>
      <c r="R13" s="36"/>
      <c r="S13" s="33"/>
      <c r="T13" s="58"/>
      <c r="U13" s="63"/>
      <c r="V13" s="68"/>
      <c r="W13" s="33"/>
      <c r="X13" s="58"/>
      <c r="Y13" s="63"/>
      <c r="Z13" s="68"/>
      <c r="AA13" s="33"/>
      <c r="AB13" s="37"/>
      <c r="AC13" s="36"/>
      <c r="AD13" s="45"/>
      <c r="AE13" s="45">
        <v>0</v>
      </c>
    </row>
    <row r="14" spans="2:31" ht="13.5" thickBot="1">
      <c r="B14" s="8" t="s">
        <v>45</v>
      </c>
      <c r="C14" s="9"/>
      <c r="D14" s="11"/>
      <c r="E14" s="11" t="s">
        <v>16</v>
      </c>
      <c r="F14" s="38"/>
      <c r="G14" s="38"/>
      <c r="H14" s="38"/>
      <c r="I14" s="38"/>
      <c r="J14" s="38"/>
      <c r="K14" s="38"/>
      <c r="L14" s="38"/>
      <c r="M14" s="38"/>
      <c r="N14" s="38"/>
      <c r="O14" s="39"/>
      <c r="P14" s="33"/>
      <c r="Q14" s="40"/>
      <c r="R14" s="39"/>
      <c r="S14" s="33"/>
      <c r="T14" s="59"/>
      <c r="U14" s="61"/>
      <c r="V14" s="69"/>
      <c r="W14" s="33"/>
      <c r="X14" s="59"/>
      <c r="Y14" s="61"/>
      <c r="Z14" s="69"/>
      <c r="AA14" s="33"/>
      <c r="AB14" s="40"/>
      <c r="AC14" s="39"/>
      <c r="AD14" s="45"/>
      <c r="AE14" s="45">
        <v>0</v>
      </c>
    </row>
    <row r="15" spans="2:31">
      <c r="B15" s="15" t="s">
        <v>59</v>
      </c>
      <c r="C15" s="16" t="s">
        <v>1</v>
      </c>
      <c r="D15" s="17"/>
      <c r="E15" s="17"/>
      <c r="F15" s="31"/>
      <c r="G15" s="31"/>
      <c r="H15" s="31"/>
      <c r="I15" s="31"/>
      <c r="J15" s="31"/>
      <c r="K15" s="31"/>
      <c r="L15" s="31"/>
      <c r="M15" s="31"/>
      <c r="N15" s="31"/>
      <c r="O15" s="32"/>
      <c r="P15" s="33"/>
      <c r="Q15" s="34"/>
      <c r="R15" s="32"/>
      <c r="S15" s="33"/>
      <c r="T15" s="56"/>
      <c r="U15" s="64"/>
      <c r="V15" s="65"/>
      <c r="W15" s="33"/>
      <c r="X15" s="56"/>
      <c r="Y15" s="64"/>
      <c r="Z15" s="65"/>
      <c r="AA15" s="33"/>
      <c r="AB15" s="34"/>
      <c r="AC15" s="32"/>
      <c r="AD15" s="45"/>
      <c r="AE15" s="45">
        <v>0</v>
      </c>
    </row>
    <row r="16" spans="2:31">
      <c r="B16" s="7" t="s">
        <v>26</v>
      </c>
      <c r="C16" s="1"/>
      <c r="D16" s="18" t="s">
        <v>46</v>
      </c>
      <c r="E16" s="10"/>
      <c r="F16" s="41"/>
      <c r="G16" s="41"/>
      <c r="H16" s="41"/>
      <c r="I16" s="41"/>
      <c r="J16" s="41"/>
      <c r="K16" s="41"/>
      <c r="L16" s="41"/>
      <c r="M16" s="41"/>
      <c r="N16" s="41"/>
      <c r="O16" s="42"/>
      <c r="P16" s="33"/>
      <c r="Q16" s="43"/>
      <c r="R16" s="42"/>
      <c r="S16" s="33"/>
      <c r="T16" s="57"/>
      <c r="U16" s="66"/>
      <c r="V16" s="67"/>
      <c r="W16" s="33"/>
      <c r="X16" s="57"/>
      <c r="Y16" s="66"/>
      <c r="Z16" s="67"/>
      <c r="AA16" s="33"/>
      <c r="AB16" s="43"/>
      <c r="AC16" s="42"/>
      <c r="AD16" s="45"/>
      <c r="AE16" s="45">
        <v>0</v>
      </c>
    </row>
    <row r="17" spans="2:31">
      <c r="B17" s="7" t="s">
        <v>49</v>
      </c>
      <c r="C17" s="1"/>
      <c r="D17" s="10"/>
      <c r="E17" s="10" t="s">
        <v>47</v>
      </c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3"/>
      <c r="Q17" s="37"/>
      <c r="R17" s="36"/>
      <c r="S17" s="33"/>
      <c r="T17" s="58"/>
      <c r="U17" s="63"/>
      <c r="V17" s="68"/>
      <c r="W17" s="33"/>
      <c r="X17" s="58"/>
      <c r="Y17" s="63"/>
      <c r="Z17" s="68"/>
      <c r="AA17" s="33"/>
      <c r="AB17" s="37"/>
      <c r="AC17" s="36"/>
      <c r="AD17" s="45"/>
      <c r="AE17" s="45">
        <v>0</v>
      </c>
    </row>
    <row r="18" spans="2:31">
      <c r="B18" s="7" t="s">
        <v>50</v>
      </c>
      <c r="C18" s="1"/>
      <c r="D18" s="10"/>
      <c r="E18" s="10" t="s">
        <v>68</v>
      </c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3"/>
      <c r="Q18" s="37"/>
      <c r="R18" s="36"/>
      <c r="S18" s="33"/>
      <c r="T18" s="58"/>
      <c r="U18" s="63"/>
      <c r="V18" s="68"/>
      <c r="W18" s="33"/>
      <c r="X18" s="58"/>
      <c r="Y18" s="63"/>
      <c r="Z18" s="68"/>
      <c r="AA18" s="33"/>
      <c r="AB18" s="37"/>
      <c r="AC18" s="36"/>
      <c r="AD18" s="45"/>
      <c r="AE18" s="45">
        <v>0</v>
      </c>
    </row>
    <row r="19" spans="2:31">
      <c r="B19" s="7" t="s">
        <v>51</v>
      </c>
      <c r="C19" s="1"/>
      <c r="D19" s="10"/>
      <c r="E19" s="10" t="s">
        <v>48</v>
      </c>
      <c r="F19" s="35"/>
      <c r="G19" s="35"/>
      <c r="H19" s="35"/>
      <c r="I19" s="35"/>
      <c r="J19" s="35"/>
      <c r="K19" s="35"/>
      <c r="L19" s="35"/>
      <c r="M19" s="35"/>
      <c r="N19" s="35"/>
      <c r="O19" s="36"/>
      <c r="P19" s="33"/>
      <c r="Q19" s="37"/>
      <c r="R19" s="36"/>
      <c r="S19" s="33"/>
      <c r="T19" s="58"/>
      <c r="U19" s="63"/>
      <c r="V19" s="68"/>
      <c r="W19" s="33"/>
      <c r="X19" s="58"/>
      <c r="Y19" s="63"/>
      <c r="Z19" s="68"/>
      <c r="AA19" s="33"/>
      <c r="AB19" s="37"/>
      <c r="AC19" s="36"/>
      <c r="AD19" s="45"/>
      <c r="AE19" s="45">
        <v>0</v>
      </c>
    </row>
    <row r="20" spans="2:31">
      <c r="B20" s="7" t="s">
        <v>27</v>
      </c>
      <c r="C20" s="1"/>
      <c r="D20" s="18" t="s">
        <v>71</v>
      </c>
      <c r="E20" s="10"/>
      <c r="F20" s="41"/>
      <c r="G20" s="41"/>
      <c r="H20" s="41"/>
      <c r="I20" s="41"/>
      <c r="J20" s="41"/>
      <c r="K20" s="41"/>
      <c r="L20" s="41"/>
      <c r="M20" s="41"/>
      <c r="N20" s="41"/>
      <c r="O20" s="42"/>
      <c r="P20" s="33"/>
      <c r="Q20" s="43"/>
      <c r="R20" s="42"/>
      <c r="S20" s="33"/>
      <c r="T20" s="57"/>
      <c r="U20" s="66"/>
      <c r="V20" s="67"/>
      <c r="W20" s="33"/>
      <c r="X20" s="57"/>
      <c r="Y20" s="66"/>
      <c r="Z20" s="67"/>
      <c r="AA20" s="33"/>
      <c r="AB20" s="43"/>
      <c r="AC20" s="42"/>
      <c r="AD20" s="45"/>
      <c r="AE20" s="45">
        <v>0</v>
      </c>
    </row>
    <row r="21" spans="2:31">
      <c r="B21" s="7" t="s">
        <v>53</v>
      </c>
      <c r="C21" s="1"/>
      <c r="D21" s="10"/>
      <c r="E21" s="10" t="s">
        <v>69</v>
      </c>
      <c r="F21" s="35"/>
      <c r="G21" s="35"/>
      <c r="H21" s="35"/>
      <c r="I21" s="35"/>
      <c r="J21" s="35"/>
      <c r="K21" s="35"/>
      <c r="L21" s="35"/>
      <c r="M21" s="35"/>
      <c r="N21" s="35"/>
      <c r="O21" s="36"/>
      <c r="P21" s="33"/>
      <c r="Q21" s="37"/>
      <c r="R21" s="36"/>
      <c r="S21" s="33"/>
      <c r="T21" s="58"/>
      <c r="U21" s="63"/>
      <c r="V21" s="68"/>
      <c r="W21" s="33"/>
      <c r="X21" s="58"/>
      <c r="Y21" s="63"/>
      <c r="Z21" s="68"/>
      <c r="AA21" s="33"/>
      <c r="AB21" s="37"/>
      <c r="AC21" s="36"/>
      <c r="AD21" s="45"/>
      <c r="AE21" s="45">
        <v>0</v>
      </c>
    </row>
    <row r="22" spans="2:31">
      <c r="B22" s="7" t="s">
        <v>52</v>
      </c>
      <c r="C22" s="1"/>
      <c r="D22" s="10"/>
      <c r="E22" s="10" t="s">
        <v>73</v>
      </c>
      <c r="F22" s="35"/>
      <c r="G22" s="35"/>
      <c r="H22" s="35"/>
      <c r="I22" s="35"/>
      <c r="J22" s="35"/>
      <c r="K22" s="79"/>
      <c r="L22" s="35"/>
      <c r="M22" s="35"/>
      <c r="N22" s="35"/>
      <c r="O22" s="36"/>
      <c r="P22" s="33"/>
      <c r="Q22" s="37"/>
      <c r="R22" s="36"/>
      <c r="S22" s="33"/>
      <c r="T22" s="58"/>
      <c r="U22" s="63"/>
      <c r="V22" s="68"/>
      <c r="W22" s="33"/>
      <c r="X22" s="58"/>
      <c r="Y22" s="63"/>
      <c r="Z22" s="68"/>
      <c r="AA22" s="33"/>
      <c r="AB22" s="80"/>
      <c r="AC22" s="36"/>
      <c r="AD22" s="45"/>
      <c r="AE22" s="45">
        <v>0</v>
      </c>
    </row>
    <row r="23" spans="2:31" ht="13.5" thickBot="1">
      <c r="B23" s="8" t="s">
        <v>72</v>
      </c>
      <c r="C23" s="9"/>
      <c r="D23" s="11"/>
      <c r="E23" s="11" t="s">
        <v>70</v>
      </c>
      <c r="F23" s="38"/>
      <c r="G23" s="38"/>
      <c r="H23" s="38"/>
      <c r="I23" s="38"/>
      <c r="J23" s="38"/>
      <c r="K23" s="78"/>
      <c r="L23" s="38"/>
      <c r="M23" s="38"/>
      <c r="N23" s="38"/>
      <c r="O23" s="39"/>
      <c r="P23" s="33"/>
      <c r="Q23" s="40"/>
      <c r="R23" s="39"/>
      <c r="S23" s="33"/>
      <c r="T23" s="59"/>
      <c r="U23" s="61"/>
      <c r="V23" s="69"/>
      <c r="W23" s="33"/>
      <c r="X23" s="59"/>
      <c r="Y23" s="61"/>
      <c r="Z23" s="69"/>
      <c r="AA23" s="33"/>
      <c r="AB23" s="81"/>
      <c r="AC23" s="39"/>
      <c r="AD23" s="45"/>
      <c r="AE23" s="45">
        <v>0</v>
      </c>
    </row>
    <row r="24" spans="2:31">
      <c r="B24" s="15" t="s">
        <v>60</v>
      </c>
      <c r="C24" s="16" t="s">
        <v>4</v>
      </c>
      <c r="D24" s="17"/>
      <c r="E24" s="17"/>
      <c r="F24" s="31"/>
      <c r="G24" s="31"/>
      <c r="H24" s="31"/>
      <c r="I24" s="31"/>
      <c r="J24" s="31"/>
      <c r="K24" s="31"/>
      <c r="L24" s="31"/>
      <c r="M24" s="31"/>
      <c r="N24" s="31"/>
      <c r="O24" s="32"/>
      <c r="P24" s="33"/>
      <c r="Q24" s="34"/>
      <c r="R24" s="32"/>
      <c r="S24" s="33"/>
      <c r="T24" s="56"/>
      <c r="U24" s="64"/>
      <c r="V24" s="65"/>
      <c r="W24" s="33"/>
      <c r="X24" s="56"/>
      <c r="Y24" s="64"/>
      <c r="Z24" s="65"/>
      <c r="AA24" s="33"/>
      <c r="AB24" s="34"/>
      <c r="AC24" s="32"/>
      <c r="AD24" s="45"/>
      <c r="AE24" s="45">
        <v>0</v>
      </c>
    </row>
    <row r="25" spans="2:31">
      <c r="B25" s="7" t="s">
        <v>28</v>
      </c>
      <c r="C25" s="1"/>
      <c r="D25" s="18" t="s">
        <v>7</v>
      </c>
      <c r="E25" s="10"/>
      <c r="F25" s="35"/>
      <c r="G25" s="35"/>
      <c r="H25" s="35"/>
      <c r="I25" s="35"/>
      <c r="J25" s="35"/>
      <c r="K25" s="35"/>
      <c r="L25" s="35"/>
      <c r="M25" s="35"/>
      <c r="N25" s="35"/>
      <c r="O25" s="36"/>
      <c r="P25" s="33"/>
      <c r="Q25" s="37"/>
      <c r="R25" s="36"/>
      <c r="S25" s="33"/>
      <c r="T25" s="58"/>
      <c r="U25" s="63"/>
      <c r="V25" s="68"/>
      <c r="W25" s="33"/>
      <c r="X25" s="58"/>
      <c r="Y25" s="63"/>
      <c r="Z25" s="68"/>
      <c r="AA25" s="33"/>
      <c r="AB25" s="37"/>
      <c r="AC25" s="36"/>
      <c r="AD25" s="45"/>
      <c r="AE25" s="45">
        <v>0</v>
      </c>
    </row>
    <row r="26" spans="2:31">
      <c r="B26" s="7" t="s">
        <v>29</v>
      </c>
      <c r="C26" s="1"/>
      <c r="D26" s="18" t="s">
        <v>8</v>
      </c>
      <c r="E26" s="10"/>
      <c r="F26" s="35"/>
      <c r="G26" s="35"/>
      <c r="H26" s="35"/>
      <c r="I26" s="35"/>
      <c r="J26" s="35"/>
      <c r="K26" s="35"/>
      <c r="L26" s="35"/>
      <c r="M26" s="35"/>
      <c r="N26" s="35"/>
      <c r="O26" s="36"/>
      <c r="P26" s="33"/>
      <c r="Q26" s="37"/>
      <c r="R26" s="36"/>
      <c r="S26" s="33"/>
      <c r="T26" s="58"/>
      <c r="U26" s="63"/>
      <c r="V26" s="68"/>
      <c r="W26" s="33"/>
      <c r="X26" s="58"/>
      <c r="Y26" s="63"/>
      <c r="Z26" s="68"/>
      <c r="AA26" s="33"/>
      <c r="AB26" s="37"/>
      <c r="AC26" s="36"/>
      <c r="AD26" s="45"/>
      <c r="AE26" s="45">
        <v>0</v>
      </c>
    </row>
    <row r="27" spans="2:31">
      <c r="B27" s="7" t="s">
        <v>30</v>
      </c>
      <c r="C27" s="1"/>
      <c r="D27" s="18" t="s">
        <v>5</v>
      </c>
      <c r="E27" s="10"/>
      <c r="F27" s="35"/>
      <c r="G27" s="35"/>
      <c r="H27" s="35"/>
      <c r="I27" s="35"/>
      <c r="J27" s="35"/>
      <c r="K27" s="35"/>
      <c r="L27" s="35"/>
      <c r="M27" s="35"/>
      <c r="N27" s="35"/>
      <c r="O27" s="36"/>
      <c r="P27" s="33"/>
      <c r="Q27" s="37"/>
      <c r="R27" s="36"/>
      <c r="S27" s="33"/>
      <c r="T27" s="58"/>
      <c r="U27" s="63"/>
      <c r="V27" s="68"/>
      <c r="W27" s="33"/>
      <c r="X27" s="58"/>
      <c r="Y27" s="63"/>
      <c r="Z27" s="68"/>
      <c r="AA27" s="33"/>
      <c r="AB27" s="37"/>
      <c r="AC27" s="36"/>
      <c r="AD27" s="45"/>
      <c r="AE27" s="45">
        <v>0</v>
      </c>
    </row>
    <row r="28" spans="2:31" ht="13.5" thickBot="1">
      <c r="B28" s="8" t="s">
        <v>31</v>
      </c>
      <c r="C28" s="9"/>
      <c r="D28" s="19" t="s">
        <v>18</v>
      </c>
      <c r="E28" s="11"/>
      <c r="F28" s="38"/>
      <c r="G28" s="38"/>
      <c r="H28" s="38"/>
      <c r="I28" s="38"/>
      <c r="J28" s="38"/>
      <c r="K28" s="38"/>
      <c r="L28" s="38"/>
      <c r="M28" s="38"/>
      <c r="N28" s="38"/>
      <c r="O28" s="39"/>
      <c r="P28" s="33"/>
      <c r="Q28" s="40"/>
      <c r="R28" s="39"/>
      <c r="S28" s="33"/>
      <c r="T28" s="60"/>
      <c r="U28" s="61"/>
      <c r="V28" s="69"/>
      <c r="W28" s="33"/>
      <c r="X28" s="60"/>
      <c r="Y28" s="61"/>
      <c r="Z28" s="69"/>
      <c r="AA28" s="33"/>
      <c r="AB28" s="40"/>
      <c r="AC28" s="39"/>
      <c r="AD28" s="45"/>
      <c r="AE28" s="45">
        <v>0</v>
      </c>
    </row>
    <row r="29" spans="2:31">
      <c r="B29" s="15" t="s">
        <v>61</v>
      </c>
      <c r="C29" s="16" t="s">
        <v>11</v>
      </c>
      <c r="D29" s="17"/>
      <c r="E29" s="17"/>
      <c r="F29" s="31"/>
      <c r="G29" s="31"/>
      <c r="H29" s="31"/>
      <c r="I29" s="31"/>
      <c r="J29" s="31"/>
      <c r="K29" s="31"/>
      <c r="L29" s="31"/>
      <c r="M29" s="31"/>
      <c r="N29" s="31"/>
      <c r="O29" s="32"/>
      <c r="P29" s="33"/>
      <c r="Q29" s="34"/>
      <c r="R29" s="32"/>
      <c r="S29" s="33"/>
      <c r="T29" s="56"/>
      <c r="U29" s="64"/>
      <c r="V29" s="65"/>
      <c r="W29" s="33"/>
      <c r="X29" s="56"/>
      <c r="Y29" s="64"/>
      <c r="Z29" s="65"/>
      <c r="AA29" s="33"/>
      <c r="AB29" s="34"/>
      <c r="AC29" s="32"/>
      <c r="AD29" s="45"/>
      <c r="AE29" s="45">
        <v>0</v>
      </c>
    </row>
    <row r="30" spans="2:31">
      <c r="B30" s="7" t="s">
        <v>22</v>
      </c>
      <c r="C30" s="1"/>
      <c r="D30" s="18" t="s">
        <v>11</v>
      </c>
      <c r="E30" s="10"/>
      <c r="F30" s="35"/>
      <c r="G30" s="35"/>
      <c r="H30" s="35"/>
      <c r="I30" s="35"/>
      <c r="J30" s="35"/>
      <c r="K30" s="35"/>
      <c r="L30" s="35"/>
      <c r="M30" s="35"/>
      <c r="N30" s="35"/>
      <c r="O30" s="36"/>
      <c r="P30" s="33"/>
      <c r="Q30" s="37"/>
      <c r="R30" s="36"/>
      <c r="S30" s="33"/>
      <c r="T30" s="58"/>
      <c r="U30" s="63"/>
      <c r="V30" s="68"/>
      <c r="W30" s="33"/>
      <c r="X30" s="58"/>
      <c r="Y30" s="63"/>
      <c r="Z30" s="68"/>
      <c r="AA30" s="33"/>
      <c r="AB30" s="37"/>
      <c r="AC30" s="36"/>
      <c r="AD30" s="45"/>
      <c r="AE30" s="45">
        <v>0</v>
      </c>
    </row>
    <row r="31" spans="2:31" ht="13.5" thickBot="1">
      <c r="B31" s="8" t="s">
        <v>62</v>
      </c>
      <c r="C31" s="9"/>
      <c r="D31" s="19" t="s">
        <v>63</v>
      </c>
      <c r="E31" s="11"/>
      <c r="F31" s="38"/>
      <c r="G31" s="38"/>
      <c r="H31" s="38"/>
      <c r="I31" s="38"/>
      <c r="J31" s="38"/>
      <c r="K31" s="38"/>
      <c r="L31" s="38"/>
      <c r="M31" s="38"/>
      <c r="N31" s="38"/>
      <c r="O31" s="39"/>
      <c r="P31" s="33"/>
      <c r="Q31" s="40"/>
      <c r="R31" s="39"/>
      <c r="S31" s="33"/>
      <c r="T31" s="59"/>
      <c r="U31" s="61"/>
      <c r="V31" s="69"/>
      <c r="W31" s="33"/>
      <c r="X31" s="59"/>
      <c r="Y31" s="61"/>
      <c r="Z31" s="69"/>
      <c r="AA31" s="33"/>
      <c r="AB31" s="40"/>
      <c r="AC31" s="39"/>
      <c r="AD31" s="45"/>
      <c r="AE31" s="45">
        <v>0</v>
      </c>
    </row>
    <row r="32" spans="2:31">
      <c r="B32" s="15" t="s">
        <v>23</v>
      </c>
      <c r="C32" s="16" t="s">
        <v>12</v>
      </c>
      <c r="D32" s="17"/>
      <c r="E32" s="17"/>
      <c r="F32" s="31"/>
      <c r="G32" s="31"/>
      <c r="H32" s="31"/>
      <c r="I32" s="31"/>
      <c r="J32" s="31"/>
      <c r="K32" s="31"/>
      <c r="L32" s="31"/>
      <c r="M32" s="31"/>
      <c r="N32" s="31"/>
      <c r="O32" s="32"/>
      <c r="P32" s="33"/>
      <c r="Q32" s="34"/>
      <c r="R32" s="32"/>
      <c r="S32" s="33"/>
      <c r="T32" s="56"/>
      <c r="U32" s="64"/>
      <c r="V32" s="65"/>
      <c r="W32" s="33"/>
      <c r="X32" s="56"/>
      <c r="Y32" s="64"/>
      <c r="Z32" s="65"/>
      <c r="AA32" s="33"/>
      <c r="AB32" s="34"/>
      <c r="AC32" s="32"/>
      <c r="AD32" s="45"/>
      <c r="AE32" s="45">
        <v>0</v>
      </c>
    </row>
    <row r="33" spans="2:31" ht="13.5" thickBot="1">
      <c r="B33" s="8" t="s">
        <v>23</v>
      </c>
      <c r="C33" s="9"/>
      <c r="D33" s="19" t="s">
        <v>12</v>
      </c>
      <c r="E33" s="11"/>
      <c r="F33" s="38"/>
      <c r="G33" s="38"/>
      <c r="H33" s="38"/>
      <c r="I33" s="38"/>
      <c r="J33" s="38"/>
      <c r="K33" s="38"/>
      <c r="L33" s="38"/>
      <c r="M33" s="38"/>
      <c r="N33" s="38"/>
      <c r="O33" s="39"/>
      <c r="P33" s="33"/>
      <c r="Q33" s="40"/>
      <c r="R33" s="39"/>
      <c r="S33" s="33"/>
      <c r="T33" s="59"/>
      <c r="U33" s="61"/>
      <c r="V33" s="69"/>
      <c r="W33" s="33"/>
      <c r="X33" s="59"/>
      <c r="Y33" s="61"/>
      <c r="Z33" s="69"/>
      <c r="AA33" s="33"/>
      <c r="AB33" s="40"/>
      <c r="AC33" s="39"/>
      <c r="AD33" s="45"/>
      <c r="AE33" s="45">
        <v>0</v>
      </c>
    </row>
    <row r="34" spans="2:31">
      <c r="B34" s="15"/>
      <c r="C34" s="16" t="s">
        <v>74</v>
      </c>
      <c r="D34" s="17"/>
      <c r="E34" s="17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33"/>
      <c r="Q34" s="34"/>
      <c r="R34" s="32"/>
      <c r="S34" s="33"/>
      <c r="T34" s="56"/>
      <c r="U34" s="64"/>
      <c r="V34" s="65"/>
      <c r="W34" s="33"/>
      <c r="X34" s="56"/>
      <c r="Y34" s="64"/>
      <c r="Z34" s="65"/>
      <c r="AA34" s="33"/>
      <c r="AB34" s="34"/>
      <c r="AC34" s="32"/>
      <c r="AD34" s="45"/>
      <c r="AE34" s="45">
        <v>0</v>
      </c>
    </row>
    <row r="35" spans="2:31">
      <c r="B35" s="7" t="s">
        <v>24</v>
      </c>
      <c r="C35" s="12" t="s">
        <v>41</v>
      </c>
      <c r="D35" s="10"/>
      <c r="E35" s="10"/>
      <c r="F35" s="41"/>
      <c r="G35" s="41"/>
      <c r="H35" s="41"/>
      <c r="I35" s="41"/>
      <c r="J35" s="41"/>
      <c r="K35" s="41"/>
      <c r="L35" s="41"/>
      <c r="M35" s="41"/>
      <c r="N35" s="41"/>
      <c r="O35" s="42"/>
      <c r="P35" s="33"/>
      <c r="Q35" s="43"/>
      <c r="R35" s="42"/>
      <c r="S35" s="33"/>
      <c r="T35" s="57"/>
      <c r="U35" s="66"/>
      <c r="V35" s="67"/>
      <c r="W35" s="33"/>
      <c r="X35" s="57"/>
      <c r="Y35" s="66"/>
      <c r="Z35" s="67"/>
      <c r="AA35" s="33"/>
      <c r="AB35" s="43"/>
      <c r="AC35" s="42"/>
      <c r="AD35" s="45"/>
      <c r="AE35" s="45">
        <v>0</v>
      </c>
    </row>
    <row r="36" spans="2:31">
      <c r="B36" s="7" t="s">
        <v>37</v>
      </c>
      <c r="C36" s="1"/>
      <c r="D36" s="10" t="s">
        <v>13</v>
      </c>
      <c r="E36" s="10"/>
      <c r="F36" s="35"/>
      <c r="G36" s="35"/>
      <c r="H36" s="35"/>
      <c r="I36" s="35"/>
      <c r="J36" s="35"/>
      <c r="K36" s="35"/>
      <c r="L36" s="35"/>
      <c r="M36" s="35"/>
      <c r="N36" s="35"/>
      <c r="O36" s="36"/>
      <c r="P36" s="33"/>
      <c r="Q36" s="37"/>
      <c r="R36" s="36"/>
      <c r="S36" s="33"/>
      <c r="T36" s="58"/>
      <c r="U36" s="63"/>
      <c r="V36" s="68"/>
      <c r="W36" s="33"/>
      <c r="X36" s="58"/>
      <c r="Y36" s="63"/>
      <c r="Z36" s="68"/>
      <c r="AA36" s="33"/>
      <c r="AB36" s="37"/>
      <c r="AC36" s="36"/>
      <c r="AD36" s="45"/>
      <c r="AE36" s="45">
        <v>0</v>
      </c>
    </row>
    <row r="37" spans="2:31">
      <c r="B37" s="7" t="s">
        <v>38</v>
      </c>
      <c r="C37" s="1"/>
      <c r="D37" s="10" t="s">
        <v>14</v>
      </c>
      <c r="E37" s="10"/>
      <c r="F37" s="35"/>
      <c r="G37" s="35"/>
      <c r="H37" s="35"/>
      <c r="I37" s="35"/>
      <c r="J37" s="35"/>
      <c r="K37" s="35"/>
      <c r="L37" s="35"/>
      <c r="M37" s="35"/>
      <c r="N37" s="35"/>
      <c r="O37" s="36"/>
      <c r="P37" s="33"/>
      <c r="Q37" s="37"/>
      <c r="R37" s="36"/>
      <c r="S37" s="33"/>
      <c r="T37" s="58"/>
      <c r="U37" s="63"/>
      <c r="V37" s="68"/>
      <c r="W37" s="33"/>
      <c r="X37" s="58"/>
      <c r="Y37" s="63"/>
      <c r="Z37" s="68"/>
      <c r="AA37" s="33"/>
      <c r="AB37" s="37"/>
      <c r="AC37" s="36"/>
      <c r="AD37" s="45"/>
      <c r="AE37" s="45">
        <v>0</v>
      </c>
    </row>
    <row r="38" spans="2:31">
      <c r="B38" s="7" t="s">
        <v>39</v>
      </c>
      <c r="C38" s="1"/>
      <c r="D38" s="10" t="s">
        <v>40</v>
      </c>
      <c r="E38" s="10"/>
      <c r="F38" s="35"/>
      <c r="G38" s="35"/>
      <c r="H38" s="35"/>
      <c r="I38" s="35"/>
      <c r="J38" s="35"/>
      <c r="K38" s="35"/>
      <c r="L38" s="35"/>
      <c r="M38" s="35"/>
      <c r="N38" s="35"/>
      <c r="O38" s="36"/>
      <c r="P38" s="33"/>
      <c r="Q38" s="37"/>
      <c r="R38" s="36"/>
      <c r="S38" s="33"/>
      <c r="T38" s="58"/>
      <c r="U38" s="63"/>
      <c r="V38" s="68"/>
      <c r="W38" s="33"/>
      <c r="X38" s="58"/>
      <c r="Y38" s="63"/>
      <c r="Z38" s="68"/>
      <c r="AA38" s="33"/>
      <c r="AB38" s="37"/>
      <c r="AC38" s="36"/>
      <c r="AD38" s="45"/>
      <c r="AE38" s="45">
        <v>0</v>
      </c>
    </row>
    <row r="39" spans="2:31">
      <c r="B39" s="7" t="s">
        <v>75</v>
      </c>
      <c r="C39" s="12" t="s">
        <v>66</v>
      </c>
      <c r="D39" s="10"/>
      <c r="E39" s="10"/>
      <c r="F39" s="41"/>
      <c r="G39" s="41"/>
      <c r="H39" s="41"/>
      <c r="I39" s="41"/>
      <c r="J39" s="41"/>
      <c r="K39" s="41"/>
      <c r="L39" s="41"/>
      <c r="M39" s="41"/>
      <c r="N39" s="41"/>
      <c r="O39" s="42"/>
      <c r="P39" s="33"/>
      <c r="Q39" s="43"/>
      <c r="R39" s="42"/>
      <c r="S39" s="33"/>
      <c r="T39" s="57"/>
      <c r="U39" s="66"/>
      <c r="V39" s="67"/>
      <c r="W39" s="33"/>
      <c r="X39" s="57"/>
      <c r="Y39" s="66"/>
      <c r="Z39" s="67"/>
      <c r="AA39" s="33"/>
      <c r="AB39" s="43"/>
      <c r="AC39" s="42"/>
      <c r="AD39" s="45"/>
      <c r="AE39" s="45">
        <v>0</v>
      </c>
    </row>
    <row r="40" spans="2:31">
      <c r="B40" s="7" t="s">
        <v>32</v>
      </c>
      <c r="C40" s="1"/>
      <c r="D40" s="10" t="s">
        <v>19</v>
      </c>
      <c r="E40" s="10"/>
      <c r="F40" s="35"/>
      <c r="G40" s="35"/>
      <c r="H40" s="35"/>
      <c r="I40" s="35"/>
      <c r="J40" s="35"/>
      <c r="K40" s="35"/>
      <c r="L40" s="35"/>
      <c r="M40" s="35"/>
      <c r="N40" s="35"/>
      <c r="O40" s="36"/>
      <c r="P40" s="33"/>
      <c r="Q40" s="37"/>
      <c r="R40" s="36"/>
      <c r="S40" s="33"/>
      <c r="T40" s="71"/>
      <c r="U40" s="72"/>
      <c r="V40" s="73"/>
      <c r="W40" s="33"/>
      <c r="X40" s="71"/>
      <c r="Y40" s="72"/>
      <c r="Z40" s="73"/>
      <c r="AA40" s="33"/>
      <c r="AB40" s="37"/>
      <c r="AC40" s="36"/>
      <c r="AD40" s="45"/>
      <c r="AE40" s="45">
        <v>0</v>
      </c>
    </row>
    <row r="41" spans="2:31">
      <c r="B41" s="7" t="s">
        <v>64</v>
      </c>
      <c r="C41" s="1"/>
      <c r="D41" s="10" t="s">
        <v>6</v>
      </c>
      <c r="E41" s="10"/>
      <c r="F41" s="35"/>
      <c r="G41" s="35"/>
      <c r="H41" s="35"/>
      <c r="I41" s="35"/>
      <c r="J41" s="35"/>
      <c r="K41" s="35"/>
      <c r="L41" s="35"/>
      <c r="M41" s="35"/>
      <c r="N41" s="35"/>
      <c r="O41" s="36"/>
      <c r="P41" s="33"/>
      <c r="Q41" s="37"/>
      <c r="R41" s="36"/>
      <c r="S41" s="33"/>
      <c r="T41" s="58"/>
      <c r="U41" s="63"/>
      <c r="V41" s="68"/>
      <c r="W41" s="33"/>
      <c r="X41" s="71"/>
      <c r="Y41" s="72"/>
      <c r="Z41" s="73"/>
      <c r="AA41" s="33"/>
      <c r="AB41" s="37"/>
      <c r="AC41" s="36"/>
      <c r="AD41" s="45"/>
      <c r="AE41" s="45">
        <v>0</v>
      </c>
    </row>
    <row r="42" spans="2:31" ht="13.5" thickBot="1">
      <c r="B42" s="8" t="s">
        <v>65</v>
      </c>
      <c r="C42" s="9"/>
      <c r="D42" s="11" t="s">
        <v>116</v>
      </c>
      <c r="E42" s="11"/>
      <c r="F42" s="38"/>
      <c r="G42" s="38"/>
      <c r="H42" s="38"/>
      <c r="I42" s="38"/>
      <c r="J42" s="38"/>
      <c r="K42" s="38"/>
      <c r="L42" s="38"/>
      <c r="M42" s="38"/>
      <c r="N42" s="38"/>
      <c r="O42" s="39"/>
      <c r="P42" s="33"/>
      <c r="Q42" s="40"/>
      <c r="R42" s="39"/>
      <c r="S42" s="33"/>
      <c r="T42" s="59"/>
      <c r="U42" s="61"/>
      <c r="V42" s="69"/>
      <c r="W42" s="33"/>
      <c r="X42" s="74"/>
      <c r="Y42" s="75"/>
      <c r="Z42" s="76"/>
      <c r="AA42" s="33"/>
      <c r="AB42" s="40"/>
      <c r="AC42" s="39"/>
      <c r="AD42" s="45"/>
      <c r="AE42" s="45">
        <v>0</v>
      </c>
    </row>
    <row r="43" spans="2:31" ht="13.5" thickBot="1">
      <c r="F43" s="46">
        <f>SUM(F4:F42)</f>
        <v>0</v>
      </c>
      <c r="G43" s="46">
        <f t="shared" ref="G43:AC43" si="0">SUM(G4:G42)</f>
        <v>0</v>
      </c>
      <c r="H43" s="46">
        <f t="shared" si="0"/>
        <v>0</v>
      </c>
      <c r="I43" s="46">
        <f t="shared" si="0"/>
        <v>0</v>
      </c>
      <c r="J43" s="46">
        <f t="shared" si="0"/>
        <v>0</v>
      </c>
      <c r="K43" s="46">
        <f t="shared" si="0"/>
        <v>0</v>
      </c>
      <c r="L43" s="46">
        <f t="shared" si="0"/>
        <v>0</v>
      </c>
      <c r="M43" s="46">
        <f t="shared" si="0"/>
        <v>0</v>
      </c>
      <c r="N43" s="46">
        <f t="shared" si="0"/>
        <v>0</v>
      </c>
      <c r="O43" s="46">
        <f t="shared" si="0"/>
        <v>0</v>
      </c>
      <c r="P43" s="46">
        <f t="shared" si="0"/>
        <v>0</v>
      </c>
      <c r="Q43" s="46">
        <f t="shared" si="0"/>
        <v>0</v>
      </c>
      <c r="R43" s="46">
        <f t="shared" si="0"/>
        <v>0</v>
      </c>
      <c r="S43" s="46"/>
      <c r="T43" s="46">
        <f t="shared" si="0"/>
        <v>0</v>
      </c>
      <c r="U43" s="46">
        <f t="shared" si="0"/>
        <v>0</v>
      </c>
      <c r="V43" s="46">
        <f t="shared" si="0"/>
        <v>0</v>
      </c>
      <c r="W43" s="46"/>
      <c r="X43" s="46">
        <f>SUM(X4:X42)</f>
        <v>0</v>
      </c>
      <c r="Y43" s="46">
        <f>SUM(Y4:Y42)</f>
        <v>0</v>
      </c>
      <c r="Z43" s="46">
        <f>SUM(Z4:Z42)</f>
        <v>0</v>
      </c>
      <c r="AA43" s="46"/>
      <c r="AB43" s="46">
        <f t="shared" si="0"/>
        <v>0</v>
      </c>
      <c r="AC43" s="46">
        <f t="shared" si="0"/>
        <v>0</v>
      </c>
      <c r="AE43" s="47">
        <f>SUM(AE4:AE42)</f>
        <v>0</v>
      </c>
    </row>
  </sheetData>
  <mergeCells count="5">
    <mergeCell ref="F1:O1"/>
    <mergeCell ref="Q1:R1"/>
    <mergeCell ref="T1:V1"/>
    <mergeCell ref="X1:Z1"/>
    <mergeCell ref="AB1:AC1"/>
  </mergeCells>
  <dataValidations count="1">
    <dataValidation type="list" allowBlank="1" showInputMessage="1" showErrorMessage="1" sqref="Q2:R2 F2:O2">
      <formula1>paliwa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1:AH238"/>
  <sheetViews>
    <sheetView topLeftCell="A66" zoomScale="80" zoomScaleNormal="80" workbookViewId="0">
      <selection activeCell="B3" sqref="B3"/>
    </sheetView>
  </sheetViews>
  <sheetFormatPr defaultColWidth="9.140625" defaultRowHeight="12.75"/>
  <cols>
    <col min="1" max="1" width="9.140625" style="238"/>
    <col min="2" max="2" width="36.7109375" style="238" customWidth="1"/>
    <col min="3" max="3" width="19.28515625" style="238" customWidth="1"/>
    <col min="4" max="4" width="16.28515625" style="238" customWidth="1"/>
    <col min="5" max="5" width="13.42578125" style="238" customWidth="1"/>
    <col min="6" max="10" width="11.5703125" style="238" bestFit="1" customWidth="1"/>
    <col min="11" max="11" width="10" style="238" bestFit="1" customWidth="1"/>
    <col min="12" max="12" width="11.5703125" style="238" bestFit="1" customWidth="1"/>
    <col min="13" max="13" width="12" style="238" customWidth="1"/>
    <col min="14" max="14" width="11" style="238" customWidth="1"/>
    <col min="15" max="15" width="13.42578125" style="238" customWidth="1"/>
    <col min="16" max="16" width="12.5703125" style="238" customWidth="1"/>
    <col min="17" max="17" width="9.140625" style="238"/>
    <col min="18" max="18" width="12" style="238" customWidth="1"/>
    <col min="19" max="19" width="13" style="238" bestFit="1" customWidth="1"/>
    <col min="20" max="20" width="9.140625" style="238"/>
    <col min="21" max="21" width="9.140625" style="232"/>
    <col min="22" max="22" width="20" style="238" customWidth="1"/>
    <col min="23" max="16384" width="9.140625" style="238"/>
  </cols>
  <sheetData>
    <row r="1" spans="1:34" s="232" customFormat="1"/>
    <row r="2" spans="1:34" s="232" customFormat="1">
      <c r="B2" s="232" t="s">
        <v>216</v>
      </c>
      <c r="E2" s="232" t="s">
        <v>97</v>
      </c>
    </row>
    <row r="3" spans="1:34" ht="15" customHeight="1">
      <c r="A3" s="233"/>
      <c r="B3" s="234" t="s">
        <v>217</v>
      </c>
      <c r="C3" s="235"/>
      <c r="D3" s="236"/>
      <c r="E3" s="365">
        <v>2021</v>
      </c>
      <c r="F3" s="237"/>
      <c r="G3" s="237"/>
      <c r="H3" s="237"/>
      <c r="I3" s="237"/>
      <c r="J3" s="237"/>
      <c r="K3" s="237"/>
      <c r="L3" s="232"/>
      <c r="M3" s="232"/>
      <c r="N3" s="232"/>
      <c r="O3" s="232"/>
      <c r="P3" s="232"/>
      <c r="Q3" s="232"/>
      <c r="R3" s="232"/>
      <c r="S3" s="232"/>
      <c r="T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</row>
    <row r="4" spans="1:34" ht="15.75" customHeight="1">
      <c r="A4" s="233"/>
      <c r="B4" s="239" t="s">
        <v>218</v>
      </c>
      <c r="C4" s="240"/>
      <c r="D4" s="240"/>
      <c r="E4" s="368">
        <v>641201</v>
      </c>
      <c r="F4" s="241"/>
      <c r="G4" s="241"/>
      <c r="H4" s="241"/>
      <c r="I4" s="242"/>
      <c r="J4" s="243"/>
      <c r="K4" s="243"/>
      <c r="L4" s="232"/>
      <c r="M4" s="232"/>
      <c r="N4" s="232"/>
      <c r="O4" s="232"/>
      <c r="P4" s="232"/>
      <c r="Q4" s="232"/>
      <c r="R4" s="232"/>
      <c r="S4" s="232"/>
      <c r="T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</row>
    <row r="5" spans="1:34">
      <c r="A5" s="232"/>
      <c r="B5" s="234" t="s">
        <v>117</v>
      </c>
      <c r="C5" s="235"/>
      <c r="D5" s="237"/>
      <c r="E5" s="367" t="s">
        <v>219</v>
      </c>
      <c r="F5" s="237"/>
      <c r="G5" s="237"/>
      <c r="H5" s="237"/>
      <c r="I5" s="237"/>
      <c r="J5" s="244"/>
      <c r="K5" s="244"/>
      <c r="L5" s="232"/>
      <c r="M5" s="232"/>
      <c r="N5" s="232"/>
      <c r="O5" s="232"/>
      <c r="P5" s="232"/>
      <c r="Q5" s="232"/>
      <c r="R5" s="232"/>
      <c r="S5" s="232"/>
      <c r="T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</row>
    <row r="6" spans="1:34">
      <c r="A6" s="233"/>
      <c r="B6" s="236" t="s">
        <v>220</v>
      </c>
      <c r="C6" s="245"/>
      <c r="D6" s="246"/>
      <c r="E6" s="366" t="s">
        <v>221</v>
      </c>
      <c r="F6" s="236"/>
      <c r="G6" s="237"/>
      <c r="H6" s="237"/>
      <c r="I6" s="237"/>
      <c r="J6" s="244"/>
      <c r="K6" s="244"/>
      <c r="L6" s="232"/>
      <c r="M6" s="232"/>
      <c r="N6" s="232"/>
      <c r="O6" s="232"/>
      <c r="P6" s="232"/>
      <c r="Q6" s="232"/>
      <c r="R6" s="232"/>
      <c r="S6" s="232"/>
      <c r="T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</row>
    <row r="7" spans="1:34" ht="16.5" customHeight="1">
      <c r="A7" s="232"/>
      <c r="B7" s="247"/>
      <c r="C7" s="237"/>
      <c r="D7" s="248"/>
      <c r="E7" s="248"/>
      <c r="F7" s="248"/>
      <c r="G7" s="249"/>
      <c r="H7" s="250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2"/>
      <c r="T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</row>
    <row r="8" spans="1:34" ht="19.5" customHeight="1">
      <c r="A8" s="232"/>
      <c r="B8" s="251" t="s">
        <v>222</v>
      </c>
      <c r="C8" s="252"/>
      <c r="D8" s="253"/>
      <c r="E8" s="252"/>
      <c r="F8" s="253"/>
      <c r="G8" s="252"/>
      <c r="H8" s="253"/>
      <c r="I8" s="252"/>
      <c r="J8" s="253"/>
      <c r="K8" s="254"/>
      <c r="L8" s="254"/>
      <c r="M8" s="254"/>
      <c r="N8" s="254"/>
      <c r="O8" s="237"/>
      <c r="P8" s="237"/>
      <c r="Q8" s="237"/>
      <c r="R8" s="237"/>
      <c r="S8" s="232"/>
      <c r="T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</row>
    <row r="9" spans="1:34" ht="16.5" customHeight="1">
      <c r="A9" s="232"/>
      <c r="B9" s="255"/>
      <c r="C9" s="255"/>
      <c r="D9" s="256"/>
      <c r="E9" s="256"/>
      <c r="F9" s="256"/>
      <c r="G9" s="256"/>
      <c r="H9" s="237"/>
      <c r="I9" s="237"/>
      <c r="J9" s="244"/>
      <c r="K9" s="244"/>
      <c r="L9" s="237"/>
      <c r="M9" s="237"/>
      <c r="N9" s="237"/>
      <c r="O9" s="237"/>
      <c r="P9" s="237"/>
      <c r="Q9" s="237"/>
      <c r="R9" s="237"/>
      <c r="S9" s="232"/>
      <c r="T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</row>
    <row r="10" spans="1:34" ht="16.5" thickBot="1">
      <c r="A10" s="232"/>
      <c r="B10" s="257" t="s">
        <v>223</v>
      </c>
      <c r="C10" s="258"/>
      <c r="D10" s="258"/>
      <c r="E10" s="258"/>
      <c r="F10" s="258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32"/>
      <c r="T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</row>
    <row r="11" spans="1:34" ht="15" customHeight="1">
      <c r="A11" s="232"/>
      <c r="B11" s="531" t="s">
        <v>2</v>
      </c>
      <c r="C11" s="532"/>
      <c r="D11" s="535" t="s">
        <v>224</v>
      </c>
      <c r="E11" s="536"/>
      <c r="F11" s="536"/>
      <c r="G11" s="536"/>
      <c r="H11" s="536"/>
      <c r="I11" s="536"/>
      <c r="J11" s="536"/>
      <c r="K11" s="536"/>
      <c r="L11" s="536"/>
      <c r="M11" s="536"/>
      <c r="N11" s="536"/>
      <c r="O11" s="536"/>
      <c r="P11" s="536"/>
      <c r="Q11" s="536"/>
      <c r="R11" s="536"/>
      <c r="S11" s="537"/>
      <c r="T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</row>
    <row r="12" spans="1:34" ht="14.25" customHeight="1">
      <c r="A12" s="232"/>
      <c r="B12" s="533"/>
      <c r="C12" s="534"/>
      <c r="D12" s="538" t="s">
        <v>77</v>
      </c>
      <c r="E12" s="538" t="s">
        <v>225</v>
      </c>
      <c r="F12" s="538" t="s">
        <v>226</v>
      </c>
      <c r="G12" s="538"/>
      <c r="H12" s="538"/>
      <c r="I12" s="538"/>
      <c r="J12" s="538"/>
      <c r="K12" s="538"/>
      <c r="L12" s="538"/>
      <c r="M12" s="538"/>
      <c r="N12" s="538" t="s">
        <v>227</v>
      </c>
      <c r="O12" s="538"/>
      <c r="P12" s="538"/>
      <c r="Q12" s="538"/>
      <c r="R12" s="538"/>
      <c r="S12" s="550" t="s">
        <v>228</v>
      </c>
      <c r="T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</row>
    <row r="13" spans="1:34" ht="26.25" thickBot="1">
      <c r="A13" s="232"/>
      <c r="B13" s="533"/>
      <c r="C13" s="534"/>
      <c r="D13" s="539"/>
      <c r="E13" s="539"/>
      <c r="F13" s="260" t="s">
        <v>80</v>
      </c>
      <c r="G13" s="260" t="s">
        <v>229</v>
      </c>
      <c r="H13" s="260" t="s">
        <v>82</v>
      </c>
      <c r="I13" s="260" t="s">
        <v>84</v>
      </c>
      <c r="J13" s="260" t="s">
        <v>85</v>
      </c>
      <c r="K13" s="260" t="s">
        <v>230</v>
      </c>
      <c r="L13" s="260" t="s">
        <v>86</v>
      </c>
      <c r="M13" s="260" t="s">
        <v>231</v>
      </c>
      <c r="N13" s="260" t="s">
        <v>232</v>
      </c>
      <c r="O13" s="260" t="s">
        <v>233</v>
      </c>
      <c r="P13" s="260" t="s">
        <v>234</v>
      </c>
      <c r="Q13" s="260" t="s">
        <v>235</v>
      </c>
      <c r="R13" s="260" t="s">
        <v>236</v>
      </c>
      <c r="S13" s="551"/>
      <c r="T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</row>
    <row r="14" spans="1:34" ht="15" customHeight="1">
      <c r="A14" s="232"/>
      <c r="B14" s="261" t="s">
        <v>237</v>
      </c>
      <c r="C14" s="262"/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  <c r="P14" s="263"/>
      <c r="Q14" s="263"/>
      <c r="R14" s="263"/>
      <c r="S14" s="264"/>
      <c r="T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</row>
    <row r="15" spans="1:34" ht="14.25" customHeight="1">
      <c r="A15" s="232"/>
      <c r="B15" s="265" t="s">
        <v>238</v>
      </c>
      <c r="C15" s="266"/>
      <c r="D15" s="267">
        <v>47611</v>
      </c>
      <c r="E15" s="267">
        <v>173401</v>
      </c>
      <c r="F15" s="267">
        <v>43910</v>
      </c>
      <c r="G15" s="267">
        <v>0</v>
      </c>
      <c r="H15" s="267">
        <v>2323.0061139999998</v>
      </c>
      <c r="I15" s="267">
        <v>0</v>
      </c>
      <c r="J15" s="267">
        <v>0</v>
      </c>
      <c r="K15" s="267">
        <v>0</v>
      </c>
      <c r="L15" s="267">
        <v>0</v>
      </c>
      <c r="M15" s="267">
        <v>0</v>
      </c>
      <c r="N15" s="267">
        <v>0</v>
      </c>
      <c r="O15" s="267">
        <v>11655.855</v>
      </c>
      <c r="P15" s="267">
        <v>0</v>
      </c>
      <c r="Q15" s="267">
        <v>0</v>
      </c>
      <c r="R15" s="267">
        <v>0</v>
      </c>
      <c r="S15" s="268">
        <v>278900.86111399997</v>
      </c>
      <c r="T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</row>
    <row r="16" spans="1:34" ht="14.25" customHeight="1">
      <c r="A16" s="232"/>
      <c r="B16" s="269" t="s">
        <v>239</v>
      </c>
      <c r="C16" s="270"/>
      <c r="D16" s="267">
        <v>969268</v>
      </c>
      <c r="E16" s="267">
        <v>701851</v>
      </c>
      <c r="F16" s="267">
        <v>305577.20023660694</v>
      </c>
      <c r="G16" s="267">
        <v>1138.9234615833336</v>
      </c>
      <c r="H16" s="267">
        <v>14009.803743722221</v>
      </c>
      <c r="I16" s="267">
        <v>0</v>
      </c>
      <c r="J16" s="267">
        <v>0</v>
      </c>
      <c r="K16" s="267">
        <v>0</v>
      </c>
      <c r="L16" s="267">
        <v>0</v>
      </c>
      <c r="M16" s="267">
        <v>4309.8346999999994</v>
      </c>
      <c r="N16" s="267">
        <v>0</v>
      </c>
      <c r="O16" s="267">
        <v>0</v>
      </c>
      <c r="P16" s="267">
        <v>0</v>
      </c>
      <c r="Q16" s="267">
        <v>0</v>
      </c>
      <c r="R16" s="267">
        <v>0</v>
      </c>
      <c r="S16" s="268">
        <v>1996154.7621419125</v>
      </c>
      <c r="T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</row>
    <row r="17" spans="1:34" ht="15" customHeight="1">
      <c r="A17" s="232"/>
      <c r="B17" s="269" t="s">
        <v>0</v>
      </c>
      <c r="C17" s="270"/>
      <c r="D17" s="267">
        <v>717056</v>
      </c>
      <c r="E17" s="267">
        <v>1537305</v>
      </c>
      <c r="F17" s="267">
        <v>1227334</v>
      </c>
      <c r="G17" s="267">
        <v>14208.770000000002</v>
      </c>
      <c r="H17" s="267">
        <v>1997</v>
      </c>
      <c r="I17" s="267">
        <v>0</v>
      </c>
      <c r="J17" s="267">
        <v>0</v>
      </c>
      <c r="K17" s="267">
        <v>0</v>
      </c>
      <c r="L17" s="267">
        <v>355700</v>
      </c>
      <c r="M17" s="267">
        <v>0</v>
      </c>
      <c r="N17" s="267">
        <v>0</v>
      </c>
      <c r="O17" s="267">
        <v>0</v>
      </c>
      <c r="P17" s="267">
        <v>212273.58817937173</v>
      </c>
      <c r="Q17" s="267">
        <v>6346.6200000000017</v>
      </c>
      <c r="R17" s="267">
        <v>0</v>
      </c>
      <c r="S17" s="268">
        <v>4072220.9781793719</v>
      </c>
      <c r="T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</row>
    <row r="18" spans="1:34" ht="15" customHeight="1">
      <c r="A18" s="232"/>
      <c r="B18" s="269" t="s">
        <v>42</v>
      </c>
      <c r="C18" s="270"/>
      <c r="D18" s="267">
        <v>25308</v>
      </c>
      <c r="E18" s="267">
        <v>0</v>
      </c>
      <c r="F18" s="267">
        <v>502</v>
      </c>
      <c r="G18" s="267">
        <v>0</v>
      </c>
      <c r="H18" s="267">
        <v>0</v>
      </c>
      <c r="I18" s="267">
        <v>0</v>
      </c>
      <c r="J18" s="267">
        <v>0</v>
      </c>
      <c r="K18" s="267">
        <v>0</v>
      </c>
      <c r="L18" s="267">
        <v>0</v>
      </c>
      <c r="M18" s="267">
        <v>0</v>
      </c>
      <c r="N18" s="267">
        <v>0</v>
      </c>
      <c r="O18" s="267">
        <v>0</v>
      </c>
      <c r="P18" s="267">
        <v>0</v>
      </c>
      <c r="Q18" s="267">
        <v>0</v>
      </c>
      <c r="R18" s="267">
        <v>0</v>
      </c>
      <c r="S18" s="268">
        <v>25810</v>
      </c>
      <c r="T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</row>
    <row r="19" spans="1:34" ht="15" customHeight="1">
      <c r="A19" s="232"/>
      <c r="B19" s="541" t="s">
        <v>11</v>
      </c>
      <c r="C19" s="350" t="s">
        <v>240</v>
      </c>
      <c r="D19" s="349"/>
      <c r="E19" s="349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49"/>
      <c r="T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</row>
    <row r="20" spans="1:34" ht="18.75" customHeight="1">
      <c r="A20" s="232"/>
      <c r="B20" s="542"/>
      <c r="C20" s="351" t="s">
        <v>241</v>
      </c>
      <c r="D20" s="349"/>
      <c r="E20" s="349"/>
      <c r="F20" s="349"/>
      <c r="G20" s="349"/>
      <c r="H20" s="349"/>
      <c r="I20" s="349"/>
      <c r="J20" s="349"/>
      <c r="K20" s="349"/>
      <c r="L20" s="349"/>
      <c r="M20" s="349"/>
      <c r="N20" s="349"/>
      <c r="O20" s="349"/>
      <c r="P20" s="349"/>
      <c r="Q20" s="349"/>
      <c r="R20" s="349"/>
      <c r="S20" s="349"/>
      <c r="T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</row>
    <row r="21" spans="1:34" ht="18.75" customHeight="1">
      <c r="A21" s="232"/>
      <c r="B21" s="543"/>
      <c r="C21" s="272" t="s">
        <v>228</v>
      </c>
      <c r="D21" s="273">
        <v>676489</v>
      </c>
      <c r="E21" s="273">
        <v>73796.666666666672</v>
      </c>
      <c r="F21" s="273">
        <v>310837</v>
      </c>
      <c r="G21" s="273">
        <v>14</v>
      </c>
      <c r="H21" s="273">
        <v>8442</v>
      </c>
      <c r="I21" s="273">
        <v>0</v>
      </c>
      <c r="J21" s="273">
        <v>0</v>
      </c>
      <c r="K21" s="273">
        <v>0</v>
      </c>
      <c r="L21" s="273">
        <v>0</v>
      </c>
      <c r="M21" s="273">
        <v>100457</v>
      </c>
      <c r="N21" s="273">
        <v>0</v>
      </c>
      <c r="O21" s="273">
        <v>0</v>
      </c>
      <c r="P21" s="273">
        <v>0</v>
      </c>
      <c r="Q21" s="273">
        <v>0</v>
      </c>
      <c r="R21" s="273">
        <v>0</v>
      </c>
      <c r="S21" s="274">
        <v>1170035.6666666665</v>
      </c>
      <c r="T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</row>
    <row r="22" spans="1:34" ht="15" customHeight="1" thickBot="1">
      <c r="A22" s="232"/>
      <c r="B22" s="275" t="s">
        <v>242</v>
      </c>
      <c r="C22" s="276"/>
      <c r="D22" s="277">
        <v>2435732</v>
      </c>
      <c r="E22" s="277">
        <v>2486353.6666666665</v>
      </c>
      <c r="F22" s="277">
        <v>1888160.2002366069</v>
      </c>
      <c r="G22" s="277">
        <v>15361.693461583336</v>
      </c>
      <c r="H22" s="277">
        <v>26771.809857722219</v>
      </c>
      <c r="I22" s="277">
        <v>0</v>
      </c>
      <c r="J22" s="277">
        <v>0</v>
      </c>
      <c r="K22" s="277">
        <v>0</v>
      </c>
      <c r="L22" s="277">
        <v>355700</v>
      </c>
      <c r="M22" s="277">
        <v>104766.83470000001</v>
      </c>
      <c r="N22" s="277">
        <v>0</v>
      </c>
      <c r="O22" s="277">
        <v>11655.855</v>
      </c>
      <c r="P22" s="277">
        <v>212273.58817937173</v>
      </c>
      <c r="Q22" s="277">
        <v>6346.6200000000017</v>
      </c>
      <c r="R22" s="277">
        <v>0</v>
      </c>
      <c r="S22" s="278">
        <v>7543122.2681019511</v>
      </c>
      <c r="T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</row>
    <row r="23" spans="1:34" ht="15" customHeight="1">
      <c r="A23" s="232"/>
      <c r="B23" s="279" t="s">
        <v>243</v>
      </c>
      <c r="C23" s="280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2"/>
      <c r="T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</row>
    <row r="24" spans="1:34" ht="15" customHeight="1">
      <c r="A24" s="232"/>
      <c r="B24" s="269" t="s">
        <v>244</v>
      </c>
      <c r="C24" s="283"/>
      <c r="D24" s="267">
        <v>0</v>
      </c>
      <c r="E24" s="267">
        <v>0</v>
      </c>
      <c r="F24" s="267">
        <v>0</v>
      </c>
      <c r="G24" s="267">
        <v>15.441589750000002</v>
      </c>
      <c r="H24" s="267">
        <v>0</v>
      </c>
      <c r="I24" s="267">
        <v>23247.534488694455</v>
      </c>
      <c r="J24" s="267">
        <v>838.85199999999986</v>
      </c>
      <c r="K24" s="267">
        <v>0</v>
      </c>
      <c r="L24" s="267">
        <v>0</v>
      </c>
      <c r="M24" s="267">
        <v>0</v>
      </c>
      <c r="N24" s="267">
        <v>0</v>
      </c>
      <c r="O24" s="267">
        <v>0</v>
      </c>
      <c r="P24" s="267">
        <v>0</v>
      </c>
      <c r="Q24" s="267">
        <v>0</v>
      </c>
      <c r="R24" s="267">
        <v>0</v>
      </c>
      <c r="S24" s="271">
        <v>24101.828078444454</v>
      </c>
      <c r="T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</row>
    <row r="25" spans="1:34" ht="15" customHeight="1">
      <c r="A25" s="232"/>
      <c r="B25" s="269" t="s">
        <v>245</v>
      </c>
      <c r="C25" s="283"/>
      <c r="D25" s="267">
        <v>63813</v>
      </c>
      <c r="E25" s="267">
        <v>0</v>
      </c>
      <c r="F25" s="267">
        <v>0</v>
      </c>
      <c r="G25" s="267">
        <v>0</v>
      </c>
      <c r="H25" s="267">
        <v>0</v>
      </c>
      <c r="I25" s="267">
        <v>94213</v>
      </c>
      <c r="J25" s="267">
        <v>0</v>
      </c>
      <c r="K25" s="267">
        <v>0</v>
      </c>
      <c r="L25" s="267">
        <v>0</v>
      </c>
      <c r="M25" s="267">
        <v>0</v>
      </c>
      <c r="N25" s="267">
        <v>0</v>
      </c>
      <c r="O25" s="267">
        <v>0</v>
      </c>
      <c r="P25" s="267">
        <v>0</v>
      </c>
      <c r="Q25" s="267">
        <v>0</v>
      </c>
      <c r="R25" s="267">
        <v>0</v>
      </c>
      <c r="S25" s="271">
        <v>158026</v>
      </c>
      <c r="T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</row>
    <row r="26" spans="1:34" ht="15" customHeight="1">
      <c r="A26" s="232"/>
      <c r="B26" s="269" t="s">
        <v>246</v>
      </c>
      <c r="C26" s="283"/>
      <c r="D26" s="267">
        <v>23902</v>
      </c>
      <c r="E26" s="267">
        <v>0</v>
      </c>
      <c r="F26" s="267">
        <v>2625</v>
      </c>
      <c r="G26" s="267">
        <v>250558</v>
      </c>
      <c r="H26" s="267">
        <v>0</v>
      </c>
      <c r="I26" s="267">
        <v>2061745</v>
      </c>
      <c r="J26" s="267">
        <v>2453854</v>
      </c>
      <c r="K26" s="267">
        <v>0</v>
      </c>
      <c r="L26" s="267">
        <v>0</v>
      </c>
      <c r="M26" s="267">
        <v>0</v>
      </c>
      <c r="N26" s="267">
        <v>0</v>
      </c>
      <c r="O26" s="267">
        <v>31.220232084799999</v>
      </c>
      <c r="P26" s="267">
        <v>0</v>
      </c>
      <c r="Q26" s="267">
        <v>0</v>
      </c>
      <c r="R26" s="267">
        <v>0</v>
      </c>
      <c r="S26" s="271">
        <v>4792715.2202320844</v>
      </c>
      <c r="T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</row>
    <row r="27" spans="1:34" ht="15" customHeight="1" thickBot="1">
      <c r="A27" s="232"/>
      <c r="B27" s="544" t="s">
        <v>247</v>
      </c>
      <c r="C27" s="545"/>
      <c r="D27" s="277">
        <v>87715</v>
      </c>
      <c r="E27" s="277">
        <v>0</v>
      </c>
      <c r="F27" s="277">
        <v>2625</v>
      </c>
      <c r="G27" s="277">
        <v>250573.44158975</v>
      </c>
      <c r="H27" s="277">
        <v>0</v>
      </c>
      <c r="I27" s="277">
        <v>2179205.5344886943</v>
      </c>
      <c r="J27" s="277">
        <v>2454692.852</v>
      </c>
      <c r="K27" s="277">
        <v>0</v>
      </c>
      <c r="L27" s="277">
        <v>0</v>
      </c>
      <c r="M27" s="277">
        <v>0</v>
      </c>
      <c r="N27" s="277">
        <v>0</v>
      </c>
      <c r="O27" s="277">
        <v>31.220232084799999</v>
      </c>
      <c r="P27" s="277">
        <v>0</v>
      </c>
      <c r="Q27" s="277">
        <v>0</v>
      </c>
      <c r="R27" s="277">
        <v>0</v>
      </c>
      <c r="S27" s="278">
        <v>4974843.0483105285</v>
      </c>
      <c r="T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</row>
    <row r="28" spans="1:34">
      <c r="A28" s="232"/>
      <c r="B28" s="284" t="s">
        <v>248</v>
      </c>
      <c r="C28" s="280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5"/>
      <c r="T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</row>
    <row r="29" spans="1:34" ht="15" customHeight="1">
      <c r="A29" s="232"/>
      <c r="B29" s="269" t="s">
        <v>249</v>
      </c>
      <c r="C29" s="283"/>
      <c r="D29" s="286">
        <v>0</v>
      </c>
      <c r="E29" s="286">
        <v>0</v>
      </c>
      <c r="F29" s="286">
        <v>4568.1766666666663</v>
      </c>
      <c r="G29" s="286">
        <v>0</v>
      </c>
      <c r="H29" s="286">
        <v>0</v>
      </c>
      <c r="I29" s="286">
        <v>9007</v>
      </c>
      <c r="J29" s="286">
        <v>0</v>
      </c>
      <c r="K29" s="286">
        <v>0</v>
      </c>
      <c r="L29" s="286">
        <v>0</v>
      </c>
      <c r="M29" s="286">
        <v>0</v>
      </c>
      <c r="N29" s="267">
        <v>0</v>
      </c>
      <c r="O29" s="267">
        <v>0</v>
      </c>
      <c r="P29" s="267">
        <v>0</v>
      </c>
      <c r="Q29" s="267">
        <v>0</v>
      </c>
      <c r="R29" s="267">
        <v>0</v>
      </c>
      <c r="S29" s="271">
        <v>13575.176666666666</v>
      </c>
      <c r="T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</row>
    <row r="30" spans="1:34" ht="15.75" customHeight="1" thickBot="1">
      <c r="A30" s="232"/>
      <c r="B30" s="546" t="s">
        <v>250</v>
      </c>
      <c r="C30" s="547"/>
      <c r="D30" s="287">
        <v>2523447</v>
      </c>
      <c r="E30" s="287">
        <v>2486353.6666666665</v>
      </c>
      <c r="F30" s="287">
        <v>1895353.3769032736</v>
      </c>
      <c r="G30" s="287">
        <v>265935.13505133335</v>
      </c>
      <c r="H30" s="287">
        <v>26771.809857722219</v>
      </c>
      <c r="I30" s="287">
        <v>2188212.5344886943</v>
      </c>
      <c r="J30" s="287">
        <v>2454692.852</v>
      </c>
      <c r="K30" s="287">
        <v>0</v>
      </c>
      <c r="L30" s="287">
        <v>355700</v>
      </c>
      <c r="M30" s="287">
        <v>104766.83470000001</v>
      </c>
      <c r="N30" s="287">
        <v>0</v>
      </c>
      <c r="O30" s="287">
        <v>11687.075232084799</v>
      </c>
      <c r="P30" s="287">
        <v>212273.58817937173</v>
      </c>
      <c r="Q30" s="287">
        <v>6346.6200000000017</v>
      </c>
      <c r="R30" s="287">
        <v>0</v>
      </c>
      <c r="S30" s="287">
        <v>12531540.493079145</v>
      </c>
      <c r="T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</row>
    <row r="31" spans="1:34">
      <c r="A31" s="232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472" t="s">
        <v>352</v>
      </c>
      <c r="S31" s="473">
        <v>1.8378210048369509E-2</v>
      </c>
      <c r="T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</row>
    <row r="32" spans="1:34" ht="16.5" hidden="1" thickBot="1">
      <c r="A32" s="232"/>
      <c r="B32" s="288" t="s">
        <v>251</v>
      </c>
      <c r="C32" s="289"/>
      <c r="D32" s="289"/>
      <c r="E32" s="235"/>
      <c r="F32" s="235"/>
      <c r="G32" s="235"/>
      <c r="H32" s="235"/>
      <c r="I32" s="235"/>
      <c r="J32" s="235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</row>
    <row r="33" spans="1:34" ht="55.5" hidden="1" customHeight="1">
      <c r="A33" s="232"/>
      <c r="B33" s="290" t="s">
        <v>252</v>
      </c>
      <c r="C33" s="291" t="s">
        <v>253</v>
      </c>
      <c r="D33" s="291" t="s">
        <v>254</v>
      </c>
      <c r="E33" s="292" t="s">
        <v>255</v>
      </c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V33" s="232"/>
      <c r="W33" s="232"/>
      <c r="X33" s="232"/>
      <c r="Y33" s="232"/>
      <c r="Z33" s="232"/>
      <c r="AA33" s="232"/>
      <c r="AB33" s="232"/>
      <c r="AC33" s="232"/>
    </row>
    <row r="34" spans="1:34" hidden="1">
      <c r="A34" s="232"/>
      <c r="B34" s="293" t="s">
        <v>256</v>
      </c>
      <c r="C34" s="294"/>
      <c r="D34" s="295"/>
      <c r="E34" s="296">
        <v>0</v>
      </c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V34" s="232"/>
      <c r="W34" s="232"/>
      <c r="X34" s="232"/>
      <c r="Y34" s="232"/>
      <c r="Z34" s="232"/>
      <c r="AA34" s="232"/>
      <c r="AB34" s="232"/>
      <c r="AC34" s="232"/>
    </row>
    <row r="35" spans="1:34" ht="15" hidden="1" customHeight="1">
      <c r="A35" s="232"/>
      <c r="B35" s="293" t="s">
        <v>257</v>
      </c>
      <c r="C35" s="294"/>
      <c r="D35" s="295"/>
      <c r="E35" s="296">
        <v>0</v>
      </c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V35" s="232"/>
      <c r="W35" s="232"/>
      <c r="X35" s="232"/>
      <c r="Y35" s="232"/>
      <c r="Z35" s="232"/>
      <c r="AA35" s="232"/>
      <c r="AB35" s="232"/>
      <c r="AC35" s="232"/>
    </row>
    <row r="36" spans="1:34" ht="15" hidden="1" customHeight="1">
      <c r="A36" s="232"/>
      <c r="B36" s="293" t="s">
        <v>258</v>
      </c>
      <c r="C36" s="294"/>
      <c r="D36" s="295"/>
      <c r="E36" s="296">
        <v>0</v>
      </c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V36" s="232"/>
      <c r="W36" s="232"/>
      <c r="X36" s="232"/>
      <c r="Y36" s="232"/>
      <c r="Z36" s="232"/>
      <c r="AA36" s="232"/>
      <c r="AB36" s="232"/>
      <c r="AC36" s="232"/>
    </row>
    <row r="37" spans="1:34" ht="15" hidden="1" customHeight="1">
      <c r="A37" s="232"/>
      <c r="B37" s="293" t="s">
        <v>259</v>
      </c>
      <c r="C37" s="294"/>
      <c r="D37" s="295"/>
      <c r="E37" s="296">
        <v>0</v>
      </c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V37" s="232"/>
      <c r="W37" s="232"/>
      <c r="X37" s="232"/>
      <c r="Y37" s="232"/>
      <c r="Z37" s="232"/>
      <c r="AA37" s="232"/>
      <c r="AB37" s="232"/>
      <c r="AC37" s="232"/>
    </row>
    <row r="38" spans="1:34" ht="13.5" hidden="1" thickBot="1">
      <c r="A38" s="232"/>
      <c r="B38" s="297" t="s">
        <v>250</v>
      </c>
      <c r="C38" s="298">
        <v>0</v>
      </c>
      <c r="D38" s="299"/>
      <c r="E38" s="300">
        <v>0</v>
      </c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V38" s="232"/>
      <c r="W38" s="232"/>
      <c r="X38" s="232"/>
      <c r="Y38" s="232"/>
      <c r="Z38" s="232"/>
      <c r="AA38" s="232"/>
      <c r="AB38" s="232"/>
      <c r="AC38" s="232"/>
    </row>
    <row r="39" spans="1:34" hidden="1">
      <c r="A39" s="232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</row>
    <row r="40" spans="1:34" ht="16.5" hidden="1" thickBot="1">
      <c r="A40" s="232"/>
      <c r="B40" s="288" t="s">
        <v>260</v>
      </c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</row>
    <row r="41" spans="1:34" ht="14.25" hidden="1" customHeight="1">
      <c r="A41" s="232"/>
      <c r="B41" s="563" t="s">
        <v>261</v>
      </c>
      <c r="C41" s="570" t="s">
        <v>262</v>
      </c>
      <c r="D41" s="571"/>
      <c r="E41" s="574" t="s">
        <v>263</v>
      </c>
      <c r="F41" s="558"/>
      <c r="G41" s="558"/>
      <c r="H41" s="558"/>
      <c r="I41" s="558"/>
      <c r="J41" s="558"/>
      <c r="K41" s="558"/>
      <c r="L41" s="558"/>
      <c r="M41" s="558"/>
      <c r="N41" s="575"/>
      <c r="O41" s="570" t="s">
        <v>255</v>
      </c>
      <c r="P41" s="571"/>
      <c r="S41" s="232"/>
      <c r="T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</row>
    <row r="42" spans="1:34" ht="14.25" hidden="1" customHeight="1">
      <c r="A42" s="232"/>
      <c r="B42" s="564"/>
      <c r="C42" s="572"/>
      <c r="D42" s="573"/>
      <c r="E42" s="576" t="s">
        <v>226</v>
      </c>
      <c r="F42" s="577"/>
      <c r="G42" s="577"/>
      <c r="H42" s="577"/>
      <c r="I42" s="578"/>
      <c r="J42" s="565" t="s">
        <v>264</v>
      </c>
      <c r="K42" s="565" t="s">
        <v>232</v>
      </c>
      <c r="L42" s="565" t="s">
        <v>234</v>
      </c>
      <c r="M42" s="565" t="s">
        <v>265</v>
      </c>
      <c r="N42" s="565" t="s">
        <v>266</v>
      </c>
      <c r="O42" s="572"/>
      <c r="P42" s="573"/>
      <c r="Q42" s="232"/>
      <c r="R42" s="232"/>
      <c r="S42" s="232"/>
      <c r="T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</row>
    <row r="43" spans="1:34" ht="38.25" hidden="1" customHeight="1">
      <c r="A43" s="232"/>
      <c r="B43" s="564"/>
      <c r="C43" s="302" t="s">
        <v>228</v>
      </c>
      <c r="D43" s="302" t="s">
        <v>267</v>
      </c>
      <c r="E43" s="302" t="s">
        <v>80</v>
      </c>
      <c r="F43" s="302" t="s">
        <v>229</v>
      </c>
      <c r="G43" s="302" t="s">
        <v>82</v>
      </c>
      <c r="H43" s="302" t="s">
        <v>230</v>
      </c>
      <c r="I43" s="302" t="s">
        <v>86</v>
      </c>
      <c r="J43" s="566"/>
      <c r="K43" s="566"/>
      <c r="L43" s="566"/>
      <c r="M43" s="566"/>
      <c r="N43" s="566"/>
      <c r="O43" s="302" t="s">
        <v>268</v>
      </c>
      <c r="P43" s="302" t="s">
        <v>269</v>
      </c>
      <c r="Q43" s="232"/>
      <c r="R43" s="232"/>
      <c r="S43" s="232"/>
      <c r="T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</row>
    <row r="44" spans="1:34" hidden="1">
      <c r="A44" s="232"/>
      <c r="B44" s="303" t="s">
        <v>270</v>
      </c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  <c r="Q44" s="232"/>
      <c r="R44" s="232"/>
      <c r="S44" s="232"/>
      <c r="T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</row>
    <row r="45" spans="1:34" hidden="1">
      <c r="A45" s="232"/>
      <c r="B45" s="303" t="s">
        <v>266</v>
      </c>
      <c r="C45" s="304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  <c r="P45" s="304"/>
      <c r="Q45" s="232"/>
      <c r="R45" s="232"/>
      <c r="S45" s="232"/>
      <c r="T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</row>
    <row r="46" spans="1:34" ht="13.5" hidden="1" thickBot="1">
      <c r="A46" s="232"/>
      <c r="B46" s="297" t="s">
        <v>228</v>
      </c>
      <c r="C46" s="298">
        <v>0</v>
      </c>
      <c r="D46" s="298">
        <v>0</v>
      </c>
      <c r="E46" s="298">
        <v>0</v>
      </c>
      <c r="F46" s="298">
        <v>0</v>
      </c>
      <c r="G46" s="298">
        <v>0</v>
      </c>
      <c r="H46" s="298">
        <v>0</v>
      </c>
      <c r="I46" s="298">
        <v>0</v>
      </c>
      <c r="J46" s="298">
        <v>0</v>
      </c>
      <c r="K46" s="298">
        <v>0</v>
      </c>
      <c r="L46" s="298">
        <v>0</v>
      </c>
      <c r="M46" s="298">
        <v>0</v>
      </c>
      <c r="N46" s="298">
        <v>0</v>
      </c>
      <c r="O46" s="298">
        <v>0</v>
      </c>
      <c r="P46" s="298">
        <v>0</v>
      </c>
      <c r="Q46" s="232"/>
      <c r="R46" s="232"/>
      <c r="S46" s="232"/>
      <c r="T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</row>
    <row r="47" spans="1:34" hidden="1">
      <c r="A47" s="232"/>
      <c r="B47" s="237"/>
      <c r="C47" s="237"/>
      <c r="D47" s="30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235"/>
      <c r="R47" s="235"/>
      <c r="S47" s="232"/>
      <c r="T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</row>
    <row r="48" spans="1:34" ht="16.5" hidden="1" thickBot="1">
      <c r="A48" s="232"/>
      <c r="B48" s="288" t="s">
        <v>271</v>
      </c>
      <c r="C48" s="237"/>
      <c r="D48" s="30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235"/>
      <c r="R48" s="235"/>
      <c r="S48" s="232"/>
      <c r="T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</row>
    <row r="49" spans="1:34" ht="14.25" hidden="1" customHeight="1">
      <c r="A49" s="232"/>
      <c r="B49" s="567" t="s">
        <v>272</v>
      </c>
      <c r="C49" s="570" t="s">
        <v>273</v>
      </c>
      <c r="D49" s="571"/>
      <c r="E49" s="574" t="s">
        <v>263</v>
      </c>
      <c r="F49" s="558"/>
      <c r="G49" s="558"/>
      <c r="H49" s="558"/>
      <c r="I49" s="558"/>
      <c r="J49" s="558"/>
      <c r="K49" s="558"/>
      <c r="L49" s="558"/>
      <c r="M49" s="558"/>
      <c r="N49" s="575"/>
      <c r="O49" s="570" t="s">
        <v>255</v>
      </c>
      <c r="P49" s="571"/>
      <c r="Q49" s="232"/>
      <c r="R49" s="232"/>
      <c r="S49" s="232"/>
      <c r="T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</row>
    <row r="50" spans="1:34" ht="14.25" hidden="1" customHeight="1">
      <c r="A50" s="232"/>
      <c r="B50" s="568"/>
      <c r="C50" s="572"/>
      <c r="D50" s="573"/>
      <c r="E50" s="576" t="s">
        <v>226</v>
      </c>
      <c r="F50" s="577"/>
      <c r="G50" s="577"/>
      <c r="H50" s="577"/>
      <c r="I50" s="578"/>
      <c r="J50" s="565" t="s">
        <v>264</v>
      </c>
      <c r="K50" s="565" t="s">
        <v>232</v>
      </c>
      <c r="L50" s="565" t="s">
        <v>234</v>
      </c>
      <c r="M50" s="565" t="s">
        <v>265</v>
      </c>
      <c r="N50" s="565" t="s">
        <v>266</v>
      </c>
      <c r="O50" s="572"/>
      <c r="P50" s="573"/>
      <c r="Q50" s="232"/>
      <c r="R50" s="232"/>
      <c r="S50" s="232"/>
      <c r="T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</row>
    <row r="51" spans="1:34" ht="35.25" hidden="1" customHeight="1">
      <c r="A51" s="232"/>
      <c r="B51" s="569"/>
      <c r="C51" s="302" t="s">
        <v>228</v>
      </c>
      <c r="D51" s="302" t="s">
        <v>267</v>
      </c>
      <c r="E51" s="302" t="s">
        <v>80</v>
      </c>
      <c r="F51" s="302" t="s">
        <v>229</v>
      </c>
      <c r="G51" s="302" t="s">
        <v>82</v>
      </c>
      <c r="H51" s="302" t="s">
        <v>230</v>
      </c>
      <c r="I51" s="302" t="s">
        <v>86</v>
      </c>
      <c r="J51" s="566"/>
      <c r="K51" s="566"/>
      <c r="L51" s="566"/>
      <c r="M51" s="566"/>
      <c r="N51" s="566"/>
      <c r="O51" s="302" t="s">
        <v>268</v>
      </c>
      <c r="P51" s="302" t="s">
        <v>269</v>
      </c>
      <c r="Q51" s="232"/>
      <c r="R51" s="232"/>
      <c r="S51" s="232"/>
      <c r="T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</row>
    <row r="52" spans="1:34" hidden="1">
      <c r="B52" s="303" t="s">
        <v>270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306"/>
      <c r="Q52" s="232"/>
      <c r="R52" s="232"/>
      <c r="S52" s="232"/>
      <c r="T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</row>
    <row r="53" spans="1:34" hidden="1">
      <c r="A53" s="232"/>
      <c r="B53" s="303" t="s">
        <v>274</v>
      </c>
      <c r="C53" s="304"/>
      <c r="D53" s="304"/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306"/>
      <c r="Q53" s="232"/>
      <c r="R53" s="232"/>
      <c r="S53" s="232"/>
      <c r="T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</row>
    <row r="54" spans="1:34" hidden="1">
      <c r="A54" s="232"/>
      <c r="B54" s="303" t="s">
        <v>266</v>
      </c>
      <c r="C54" s="304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306"/>
      <c r="Q54" s="232"/>
      <c r="R54" s="232"/>
      <c r="S54" s="232"/>
      <c r="T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</row>
    <row r="55" spans="1:34" ht="13.5" hidden="1" thickBot="1">
      <c r="A55" s="232"/>
      <c r="B55" s="297" t="s">
        <v>228</v>
      </c>
      <c r="C55" s="298">
        <v>0</v>
      </c>
      <c r="D55" s="298">
        <v>0</v>
      </c>
      <c r="E55" s="298">
        <v>0</v>
      </c>
      <c r="F55" s="298">
        <v>0</v>
      </c>
      <c r="G55" s="298">
        <v>0</v>
      </c>
      <c r="H55" s="298">
        <v>0</v>
      </c>
      <c r="I55" s="298">
        <v>0</v>
      </c>
      <c r="J55" s="298">
        <v>0</v>
      </c>
      <c r="K55" s="298">
        <v>0</v>
      </c>
      <c r="L55" s="298">
        <v>0</v>
      </c>
      <c r="M55" s="298">
        <v>0</v>
      </c>
      <c r="N55" s="298">
        <v>0</v>
      </c>
      <c r="O55" s="298">
        <v>0</v>
      </c>
      <c r="P55" s="298">
        <v>0</v>
      </c>
      <c r="Q55" s="232"/>
      <c r="R55" s="232"/>
      <c r="S55" s="232"/>
      <c r="T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</row>
    <row r="56" spans="1:34" hidden="1">
      <c r="A56" s="232"/>
      <c r="B56" s="237"/>
      <c r="C56" s="237"/>
      <c r="D56" s="30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2"/>
      <c r="T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</row>
    <row r="57" spans="1:34" ht="16.5" thickBot="1">
      <c r="A57" s="232"/>
      <c r="B57" s="288" t="s">
        <v>117</v>
      </c>
      <c r="C57" s="307"/>
      <c r="D57" s="307"/>
      <c r="E57" s="307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2"/>
      <c r="T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</row>
    <row r="58" spans="1:34" ht="15" customHeight="1">
      <c r="A58" s="232"/>
      <c r="B58" s="563" t="s">
        <v>286</v>
      </c>
      <c r="C58" s="554" t="s">
        <v>77</v>
      </c>
      <c r="D58" s="554"/>
      <c r="E58" s="554" t="s">
        <v>225</v>
      </c>
      <c r="F58" s="554" t="s">
        <v>226</v>
      </c>
      <c r="G58" s="554"/>
      <c r="H58" s="554"/>
      <c r="I58" s="554"/>
      <c r="J58" s="554"/>
      <c r="K58" s="554"/>
      <c r="L58" s="554"/>
      <c r="M58" s="554"/>
      <c r="N58" s="554" t="s">
        <v>227</v>
      </c>
      <c r="O58" s="554"/>
      <c r="P58" s="554"/>
      <c r="Q58" s="554"/>
      <c r="R58" s="556"/>
      <c r="S58" s="232"/>
      <c r="T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</row>
    <row r="59" spans="1:34" ht="30" customHeight="1">
      <c r="A59" s="232"/>
      <c r="B59" s="564"/>
      <c r="C59" s="302" t="s">
        <v>275</v>
      </c>
      <c r="D59" s="302" t="s">
        <v>276</v>
      </c>
      <c r="E59" s="555"/>
      <c r="F59" s="302" t="s">
        <v>80</v>
      </c>
      <c r="G59" s="302" t="s">
        <v>229</v>
      </c>
      <c r="H59" s="302" t="s">
        <v>82</v>
      </c>
      <c r="I59" s="302" t="s">
        <v>277</v>
      </c>
      <c r="J59" s="302" t="s">
        <v>85</v>
      </c>
      <c r="K59" s="302" t="s">
        <v>230</v>
      </c>
      <c r="L59" s="302" t="s">
        <v>86</v>
      </c>
      <c r="M59" s="302" t="s">
        <v>231</v>
      </c>
      <c r="N59" s="302" t="s">
        <v>233</v>
      </c>
      <c r="O59" s="302" t="s">
        <v>232</v>
      </c>
      <c r="P59" s="302" t="s">
        <v>234</v>
      </c>
      <c r="Q59" s="302" t="s">
        <v>235</v>
      </c>
      <c r="R59" s="308" t="s">
        <v>236</v>
      </c>
      <c r="S59" s="232"/>
      <c r="T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</row>
    <row r="60" spans="1:34" ht="14.25">
      <c r="A60" s="232"/>
      <c r="B60" s="340" t="s">
        <v>287</v>
      </c>
      <c r="C60" s="344">
        <v>0.69799999999999995</v>
      </c>
      <c r="D60" s="339" t="s">
        <v>140</v>
      </c>
      <c r="E60" s="344">
        <v>0.35639999999999999</v>
      </c>
      <c r="F60" s="344">
        <v>0.20095199999999999</v>
      </c>
      <c r="G60" s="344">
        <v>0.22478400000000001</v>
      </c>
      <c r="H60" s="344">
        <v>0.27572400000000002</v>
      </c>
      <c r="I60" s="344">
        <v>0.263988</v>
      </c>
      <c r="J60" s="344">
        <v>0.24699599999999999</v>
      </c>
      <c r="K60" s="344">
        <v>0</v>
      </c>
      <c r="L60" s="344">
        <v>0.341028</v>
      </c>
      <c r="M60" s="344">
        <v>0.338256</v>
      </c>
      <c r="N60" s="339">
        <v>0</v>
      </c>
      <c r="O60" s="339">
        <v>0</v>
      </c>
      <c r="P60" s="339">
        <v>0</v>
      </c>
      <c r="Q60" s="339">
        <v>0</v>
      </c>
      <c r="R60" s="339">
        <v>0</v>
      </c>
      <c r="S60" s="232"/>
      <c r="T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</row>
    <row r="61" spans="1:34" ht="14.25">
      <c r="A61" s="232"/>
      <c r="B61" s="340" t="s">
        <v>288</v>
      </c>
      <c r="C61" s="345">
        <v>1.2E-5</v>
      </c>
      <c r="D61" s="339" t="s">
        <v>140</v>
      </c>
      <c r="E61" s="339">
        <v>0</v>
      </c>
      <c r="F61" s="450">
        <v>3.5999999999999998E-6</v>
      </c>
      <c r="G61" s="450">
        <v>3.5999999999999998E-6</v>
      </c>
      <c r="H61" s="345">
        <v>3.6000000000000001E-5</v>
      </c>
      <c r="I61" s="345">
        <v>1.08E-5</v>
      </c>
      <c r="J61" s="345">
        <v>1.08E-5</v>
      </c>
      <c r="K61" s="345">
        <v>0</v>
      </c>
      <c r="L61" s="345">
        <v>1.08E-3</v>
      </c>
      <c r="M61" s="345">
        <v>3.6000000000000001E-5</v>
      </c>
      <c r="N61" s="339">
        <v>0</v>
      </c>
      <c r="O61" s="339">
        <v>0</v>
      </c>
      <c r="P61" s="345">
        <v>1.08E-3</v>
      </c>
      <c r="Q61" s="339">
        <v>0</v>
      </c>
      <c r="R61" s="339">
        <v>0</v>
      </c>
      <c r="S61" s="232"/>
      <c r="T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</row>
    <row r="62" spans="1:34" ht="14.25">
      <c r="A62" s="232"/>
      <c r="B62" s="340" t="s">
        <v>289</v>
      </c>
      <c r="C62" s="345">
        <v>1.7999999999999997E-5</v>
      </c>
      <c r="D62" s="339" t="s">
        <v>140</v>
      </c>
      <c r="E62" s="339">
        <v>0</v>
      </c>
      <c r="F62" s="451">
        <v>3.5999999999999999E-7</v>
      </c>
      <c r="G62" s="451">
        <v>3.5999999999999999E-7</v>
      </c>
      <c r="H62" s="450">
        <v>2.1600000000000001E-6</v>
      </c>
      <c r="I62" s="450">
        <v>2.1600000000000001E-6</v>
      </c>
      <c r="J62" s="450">
        <v>2.1600000000000001E-6</v>
      </c>
      <c r="K62" s="345">
        <v>0</v>
      </c>
      <c r="L62" s="450">
        <v>5.04E-6</v>
      </c>
      <c r="M62" s="450">
        <v>5.04E-6</v>
      </c>
      <c r="N62" s="339">
        <v>0</v>
      </c>
      <c r="O62" s="339">
        <v>0</v>
      </c>
      <c r="P62" s="450">
        <v>1.4399999999999999E-5</v>
      </c>
      <c r="Q62" s="339">
        <v>0</v>
      </c>
      <c r="R62" s="339">
        <v>0</v>
      </c>
      <c r="S62" s="232"/>
      <c r="T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</row>
    <row r="63" spans="1:34" ht="14.25">
      <c r="A63" s="232"/>
      <c r="B63" s="340" t="s">
        <v>290</v>
      </c>
      <c r="C63" s="339">
        <v>28</v>
      </c>
      <c r="D63" s="339">
        <v>28</v>
      </c>
      <c r="E63" s="339">
        <v>28</v>
      </c>
      <c r="F63" s="339">
        <v>28</v>
      </c>
      <c r="G63" s="339">
        <v>28</v>
      </c>
      <c r="H63" s="339">
        <v>28</v>
      </c>
      <c r="I63" s="339">
        <v>28</v>
      </c>
      <c r="J63" s="339">
        <v>28</v>
      </c>
      <c r="K63" s="339">
        <v>28</v>
      </c>
      <c r="L63" s="339">
        <v>28</v>
      </c>
      <c r="M63" s="339">
        <v>28</v>
      </c>
      <c r="N63" s="339">
        <v>28</v>
      </c>
      <c r="O63" s="339">
        <v>28</v>
      </c>
      <c r="P63" s="339">
        <v>28</v>
      </c>
      <c r="Q63" s="339">
        <v>28</v>
      </c>
      <c r="R63" s="339">
        <v>28</v>
      </c>
      <c r="S63" s="232"/>
      <c r="T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</row>
    <row r="64" spans="1:34" ht="15" thickBot="1">
      <c r="A64" s="232"/>
      <c r="B64" s="346" t="s">
        <v>291</v>
      </c>
      <c r="C64" s="309">
        <v>265</v>
      </c>
      <c r="D64" s="309">
        <v>265</v>
      </c>
      <c r="E64" s="309">
        <v>265</v>
      </c>
      <c r="F64" s="309">
        <v>265</v>
      </c>
      <c r="G64" s="309">
        <v>265</v>
      </c>
      <c r="H64" s="309">
        <v>265</v>
      </c>
      <c r="I64" s="309">
        <v>265</v>
      </c>
      <c r="J64" s="309">
        <v>265</v>
      </c>
      <c r="K64" s="309">
        <v>265</v>
      </c>
      <c r="L64" s="309">
        <v>265</v>
      </c>
      <c r="M64" s="309">
        <v>265</v>
      </c>
      <c r="N64" s="309">
        <v>265</v>
      </c>
      <c r="O64" s="309">
        <v>265</v>
      </c>
      <c r="P64" s="309">
        <v>265</v>
      </c>
      <c r="Q64" s="309">
        <v>265</v>
      </c>
      <c r="R64" s="309">
        <v>265</v>
      </c>
      <c r="S64" s="232"/>
      <c r="T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</row>
    <row r="65" spans="1:34">
      <c r="A65" s="232"/>
      <c r="B65" s="237"/>
      <c r="C65" s="237"/>
      <c r="D65" s="30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5"/>
      <c r="S65" s="232"/>
      <c r="T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</row>
    <row r="66" spans="1:34" ht="16.5" thickBot="1">
      <c r="A66" s="232"/>
      <c r="B66" s="288" t="s">
        <v>278</v>
      </c>
      <c r="C66" s="307"/>
      <c r="D66" s="307"/>
      <c r="E66" s="307"/>
      <c r="F66" s="307"/>
      <c r="G66" s="235"/>
      <c r="H66" s="235"/>
      <c r="I66" s="235"/>
      <c r="J66" s="235"/>
      <c r="K66" s="235"/>
      <c r="L66" s="235"/>
      <c r="M66" s="235"/>
      <c r="N66" s="235"/>
      <c r="O66" s="235"/>
      <c r="P66" s="235"/>
      <c r="Q66" s="235"/>
      <c r="R66" s="235"/>
      <c r="S66" s="232"/>
      <c r="T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</row>
    <row r="67" spans="1:34" ht="25.5" customHeight="1">
      <c r="A67" s="232"/>
      <c r="B67" s="310" t="s">
        <v>279</v>
      </c>
      <c r="C67" s="311" t="s">
        <v>280</v>
      </c>
      <c r="D67" s="23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2"/>
      <c r="Q67" s="232"/>
      <c r="R67" s="232"/>
      <c r="S67" s="232"/>
      <c r="T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</row>
    <row r="68" spans="1:34" ht="15" customHeight="1">
      <c r="A68" s="232"/>
      <c r="B68" s="303" t="s">
        <v>4</v>
      </c>
      <c r="C68" s="347">
        <v>12949</v>
      </c>
      <c r="D68" s="23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5"/>
      <c r="P68" s="232"/>
      <c r="Q68" s="232"/>
      <c r="R68" s="232"/>
      <c r="S68" s="232"/>
      <c r="T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</row>
    <row r="69" spans="1:34" ht="15" customHeight="1">
      <c r="A69" s="232"/>
      <c r="B69" s="303" t="s">
        <v>18</v>
      </c>
      <c r="C69" s="312">
        <v>12265</v>
      </c>
      <c r="D69" s="235"/>
      <c r="E69" s="235"/>
      <c r="F69" s="235"/>
      <c r="G69" s="235"/>
      <c r="H69" s="235"/>
      <c r="I69" s="235"/>
      <c r="J69" s="235"/>
      <c r="K69" s="235"/>
      <c r="L69" s="235"/>
      <c r="M69" s="235"/>
      <c r="N69" s="235"/>
      <c r="O69" s="235"/>
      <c r="P69" s="232"/>
      <c r="Q69" s="232"/>
      <c r="R69" s="232"/>
      <c r="S69" s="232"/>
      <c r="T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</row>
    <row r="70" spans="1:34" ht="15" customHeight="1" thickBot="1">
      <c r="A70" s="232"/>
      <c r="B70" s="313" t="s">
        <v>266</v>
      </c>
      <c r="C70" s="348">
        <v>-7737</v>
      </c>
      <c r="D70" s="235"/>
      <c r="E70" s="235"/>
      <c r="F70" s="235"/>
      <c r="G70" s="235"/>
      <c r="H70" s="235"/>
      <c r="I70" s="235"/>
      <c r="J70" s="235"/>
      <c r="K70" s="235"/>
      <c r="L70" s="235"/>
      <c r="M70" s="235"/>
      <c r="N70" s="235"/>
      <c r="O70" s="235"/>
      <c r="P70" s="232"/>
      <c r="Q70" s="232"/>
      <c r="R70" s="232"/>
      <c r="S70" s="232"/>
      <c r="T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</row>
    <row r="71" spans="1:34">
      <c r="A71" s="232"/>
      <c r="B71" s="237"/>
      <c r="C71" s="237"/>
      <c r="D71" s="305"/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5"/>
      <c r="P71" s="235"/>
      <c r="Q71" s="235"/>
      <c r="R71" s="235"/>
      <c r="S71" s="232"/>
      <c r="T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</row>
    <row r="72" spans="1:34" ht="16.5" thickBot="1">
      <c r="A72" s="232"/>
      <c r="B72" s="314" t="s">
        <v>281</v>
      </c>
      <c r="C72" s="315"/>
      <c r="D72" s="315"/>
      <c r="E72" s="235"/>
      <c r="F72" s="235"/>
      <c r="G72" s="235"/>
      <c r="H72" s="235"/>
      <c r="I72" s="235"/>
      <c r="J72" s="235"/>
      <c r="K72" s="235"/>
      <c r="L72" s="235"/>
      <c r="M72" s="235"/>
      <c r="N72" s="235"/>
      <c r="O72" s="235"/>
      <c r="P72" s="235"/>
      <c r="Q72" s="235"/>
      <c r="R72" s="235"/>
      <c r="S72" s="232"/>
      <c r="T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</row>
    <row r="73" spans="1:34" ht="14.25" customHeight="1">
      <c r="A73" s="316"/>
      <c r="B73" s="531" t="s">
        <v>2</v>
      </c>
      <c r="C73" s="532"/>
      <c r="D73" s="557" t="s">
        <v>282</v>
      </c>
      <c r="E73" s="558"/>
      <c r="F73" s="558"/>
      <c r="G73" s="558"/>
      <c r="H73" s="558"/>
      <c r="I73" s="558"/>
      <c r="J73" s="558"/>
      <c r="K73" s="558"/>
      <c r="L73" s="558"/>
      <c r="M73" s="558"/>
      <c r="N73" s="558"/>
      <c r="O73" s="558"/>
      <c r="P73" s="558"/>
      <c r="Q73" s="558"/>
      <c r="R73" s="558"/>
      <c r="S73" s="559"/>
      <c r="T73" s="316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</row>
    <row r="74" spans="1:34" ht="14.25" customHeight="1">
      <c r="A74" s="316"/>
      <c r="B74" s="533"/>
      <c r="C74" s="534"/>
      <c r="D74" s="538" t="s">
        <v>77</v>
      </c>
      <c r="E74" s="538" t="s">
        <v>225</v>
      </c>
      <c r="F74" s="538" t="s">
        <v>226</v>
      </c>
      <c r="G74" s="538"/>
      <c r="H74" s="538"/>
      <c r="I74" s="538"/>
      <c r="J74" s="538"/>
      <c r="K74" s="538"/>
      <c r="L74" s="538"/>
      <c r="M74" s="538"/>
      <c r="N74" s="538" t="s">
        <v>227</v>
      </c>
      <c r="O74" s="538"/>
      <c r="P74" s="538"/>
      <c r="Q74" s="538"/>
      <c r="R74" s="538"/>
      <c r="S74" s="550" t="s">
        <v>228</v>
      </c>
      <c r="T74" s="316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</row>
    <row r="75" spans="1:34" ht="26.25" thickBot="1">
      <c r="A75" s="316"/>
      <c r="B75" s="533"/>
      <c r="C75" s="534"/>
      <c r="D75" s="539"/>
      <c r="E75" s="539"/>
      <c r="F75" s="260" t="s">
        <v>80</v>
      </c>
      <c r="G75" s="260" t="s">
        <v>229</v>
      </c>
      <c r="H75" s="260" t="s">
        <v>82</v>
      </c>
      <c r="I75" s="260" t="s">
        <v>84</v>
      </c>
      <c r="J75" s="260" t="s">
        <v>85</v>
      </c>
      <c r="K75" s="260" t="s">
        <v>230</v>
      </c>
      <c r="L75" s="260" t="s">
        <v>86</v>
      </c>
      <c r="M75" s="260" t="s">
        <v>231</v>
      </c>
      <c r="N75" s="260" t="s">
        <v>232</v>
      </c>
      <c r="O75" s="260" t="s">
        <v>233</v>
      </c>
      <c r="P75" s="260" t="s">
        <v>234</v>
      </c>
      <c r="Q75" s="260" t="s">
        <v>235</v>
      </c>
      <c r="R75" s="260" t="s">
        <v>236</v>
      </c>
      <c r="S75" s="551"/>
      <c r="T75" s="316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</row>
    <row r="76" spans="1:34" ht="14.25" customHeight="1">
      <c r="A76" s="232"/>
      <c r="B76" s="317" t="s">
        <v>237</v>
      </c>
      <c r="C76" s="318"/>
      <c r="D76" s="319"/>
      <c r="E76" s="319"/>
      <c r="F76" s="319"/>
      <c r="G76" s="319"/>
      <c r="H76" s="319"/>
      <c r="I76" s="319"/>
      <c r="J76" s="319"/>
      <c r="K76" s="319"/>
      <c r="L76" s="319"/>
      <c r="M76" s="319"/>
      <c r="N76" s="319"/>
      <c r="O76" s="319"/>
      <c r="P76" s="319"/>
      <c r="Q76" s="319"/>
      <c r="R76" s="319"/>
      <c r="S76" s="320"/>
      <c r="T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</row>
    <row r="77" spans="1:34" ht="14.25" customHeight="1">
      <c r="A77" s="232"/>
      <c r="B77" s="321" t="s">
        <v>238</v>
      </c>
      <c r="C77" s="322"/>
      <c r="D77" s="354">
        <v>33475</v>
      </c>
      <c r="E77" s="354">
        <v>61800</v>
      </c>
      <c r="F77" s="354">
        <v>8833</v>
      </c>
      <c r="G77" s="354">
        <v>0</v>
      </c>
      <c r="H77" s="354">
        <v>645</v>
      </c>
      <c r="I77" s="354">
        <v>0</v>
      </c>
      <c r="J77" s="354">
        <v>0</v>
      </c>
      <c r="K77" s="354">
        <v>0</v>
      </c>
      <c r="L77" s="354">
        <v>0</v>
      </c>
      <c r="M77" s="354">
        <v>0</v>
      </c>
      <c r="N77" s="354">
        <v>0</v>
      </c>
      <c r="O77" s="354">
        <v>0</v>
      </c>
      <c r="P77" s="354">
        <v>0</v>
      </c>
      <c r="Q77" s="354">
        <v>0</v>
      </c>
      <c r="R77" s="354">
        <v>0</v>
      </c>
      <c r="S77" s="323">
        <v>104753</v>
      </c>
      <c r="T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</row>
    <row r="78" spans="1:34" ht="14.25" customHeight="1">
      <c r="A78" s="232"/>
      <c r="B78" s="324" t="s">
        <v>239</v>
      </c>
      <c r="C78" s="325"/>
      <c r="D78" s="354">
        <v>681498</v>
      </c>
      <c r="E78" s="354">
        <v>250140</v>
      </c>
      <c r="F78" s="354">
        <v>61466</v>
      </c>
      <c r="G78" s="354">
        <v>256</v>
      </c>
      <c r="H78" s="354">
        <v>3885</v>
      </c>
      <c r="I78" s="354">
        <v>0</v>
      </c>
      <c r="J78" s="354">
        <v>0</v>
      </c>
      <c r="K78" s="354">
        <v>0</v>
      </c>
      <c r="L78" s="354">
        <v>0</v>
      </c>
      <c r="M78" s="354">
        <v>1468</v>
      </c>
      <c r="N78" s="354">
        <v>0</v>
      </c>
      <c r="O78" s="354">
        <v>0</v>
      </c>
      <c r="P78" s="354">
        <v>0</v>
      </c>
      <c r="Q78" s="354">
        <v>0</v>
      </c>
      <c r="R78" s="354">
        <v>0</v>
      </c>
      <c r="S78" s="323">
        <v>998713</v>
      </c>
      <c r="T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</row>
    <row r="79" spans="1:34" ht="14.25" customHeight="1">
      <c r="A79" s="232"/>
      <c r="B79" s="324" t="s">
        <v>0</v>
      </c>
      <c r="C79" s="325"/>
      <c r="D79" s="354">
        <v>504166</v>
      </c>
      <c r="E79" s="354">
        <v>547896</v>
      </c>
      <c r="F79" s="354">
        <v>246876</v>
      </c>
      <c r="G79" s="354">
        <v>3197</v>
      </c>
      <c r="H79" s="354">
        <v>554</v>
      </c>
      <c r="I79" s="354">
        <v>0</v>
      </c>
      <c r="J79" s="354">
        <v>0</v>
      </c>
      <c r="K79" s="354">
        <v>0</v>
      </c>
      <c r="L79" s="354">
        <v>132536</v>
      </c>
      <c r="M79" s="354">
        <v>0</v>
      </c>
      <c r="N79" s="354">
        <v>0</v>
      </c>
      <c r="O79" s="354">
        <v>0</v>
      </c>
      <c r="P79" s="354">
        <v>7229</v>
      </c>
      <c r="Q79" s="354">
        <v>0</v>
      </c>
      <c r="R79" s="354">
        <v>0</v>
      </c>
      <c r="S79" s="323">
        <v>1442454</v>
      </c>
      <c r="T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</row>
    <row r="80" spans="1:34" ht="14.25" customHeight="1">
      <c r="A80" s="232"/>
      <c r="B80" s="324" t="s">
        <v>42</v>
      </c>
      <c r="C80" s="325"/>
      <c r="D80" s="354">
        <v>17794</v>
      </c>
      <c r="E80" s="354">
        <v>0</v>
      </c>
      <c r="F80" s="354">
        <v>101</v>
      </c>
      <c r="G80" s="354">
        <v>0</v>
      </c>
      <c r="H80" s="354">
        <v>0</v>
      </c>
      <c r="I80" s="354">
        <v>0</v>
      </c>
      <c r="J80" s="354">
        <v>0</v>
      </c>
      <c r="K80" s="354">
        <v>0</v>
      </c>
      <c r="L80" s="354">
        <v>0</v>
      </c>
      <c r="M80" s="354">
        <v>0</v>
      </c>
      <c r="N80" s="354">
        <v>0</v>
      </c>
      <c r="O80" s="354">
        <v>0</v>
      </c>
      <c r="P80" s="354">
        <v>0</v>
      </c>
      <c r="Q80" s="354">
        <v>0</v>
      </c>
      <c r="R80" s="354">
        <v>0</v>
      </c>
      <c r="S80" s="323">
        <v>17895</v>
      </c>
      <c r="T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</row>
    <row r="81" spans="1:34" ht="14.25" customHeight="1">
      <c r="A81" s="232"/>
      <c r="B81" s="560" t="s">
        <v>11</v>
      </c>
      <c r="C81" s="352" t="s">
        <v>240</v>
      </c>
      <c r="D81" s="353"/>
      <c r="E81" s="353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S81" s="353"/>
      <c r="T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</row>
    <row r="82" spans="1:34" ht="14.25" customHeight="1">
      <c r="A82" s="232"/>
      <c r="B82" s="560"/>
      <c r="C82" s="352" t="s">
        <v>241</v>
      </c>
      <c r="D82" s="353"/>
      <c r="E82" s="353"/>
      <c r="F82" s="353"/>
      <c r="G82" s="353"/>
      <c r="H82" s="353"/>
      <c r="I82" s="353"/>
      <c r="J82" s="353"/>
      <c r="K82" s="353"/>
      <c r="L82" s="353"/>
      <c r="M82" s="353"/>
      <c r="N82" s="353"/>
      <c r="O82" s="353"/>
      <c r="P82" s="353"/>
      <c r="Q82" s="353"/>
      <c r="R82" s="353"/>
      <c r="S82" s="353"/>
      <c r="T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</row>
    <row r="83" spans="1:34">
      <c r="A83" s="232"/>
      <c r="B83" s="560"/>
      <c r="C83" s="272" t="s">
        <v>228</v>
      </c>
      <c r="D83" s="354">
        <v>475643</v>
      </c>
      <c r="E83" s="354">
        <v>26301</v>
      </c>
      <c r="F83" s="354">
        <v>62524</v>
      </c>
      <c r="G83" s="354">
        <v>3</v>
      </c>
      <c r="H83" s="354">
        <v>2341</v>
      </c>
      <c r="I83" s="354">
        <v>0</v>
      </c>
      <c r="J83" s="354">
        <v>0</v>
      </c>
      <c r="K83" s="354">
        <v>0</v>
      </c>
      <c r="L83" s="354">
        <v>0</v>
      </c>
      <c r="M83" s="354">
        <v>34215</v>
      </c>
      <c r="N83" s="354">
        <v>0</v>
      </c>
      <c r="O83" s="354">
        <v>0</v>
      </c>
      <c r="P83" s="354">
        <v>0</v>
      </c>
      <c r="Q83" s="354">
        <v>0</v>
      </c>
      <c r="R83" s="354">
        <v>0</v>
      </c>
      <c r="S83" s="326">
        <v>601027</v>
      </c>
      <c r="T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</row>
    <row r="84" spans="1:34">
      <c r="A84" s="232"/>
      <c r="B84" s="327" t="s">
        <v>283</v>
      </c>
      <c r="C84" s="328"/>
      <c r="D84" s="355">
        <v>1712576</v>
      </c>
      <c r="E84" s="355">
        <v>886137</v>
      </c>
      <c r="F84" s="355">
        <v>379800</v>
      </c>
      <c r="G84" s="355">
        <v>3456</v>
      </c>
      <c r="H84" s="355">
        <v>7425</v>
      </c>
      <c r="I84" s="355">
        <v>0</v>
      </c>
      <c r="J84" s="355">
        <v>0</v>
      </c>
      <c r="K84" s="355">
        <v>0</v>
      </c>
      <c r="L84" s="355">
        <v>132536</v>
      </c>
      <c r="M84" s="355">
        <v>35683</v>
      </c>
      <c r="N84" s="355">
        <v>0</v>
      </c>
      <c r="O84" s="355">
        <v>0</v>
      </c>
      <c r="P84" s="355">
        <v>7229</v>
      </c>
      <c r="Q84" s="355">
        <v>0</v>
      </c>
      <c r="R84" s="355">
        <v>0</v>
      </c>
      <c r="S84" s="323">
        <v>3164842</v>
      </c>
      <c r="T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</row>
    <row r="85" spans="1:34" ht="14.25" customHeight="1">
      <c r="A85" s="232"/>
      <c r="B85" s="329" t="s">
        <v>243</v>
      </c>
      <c r="C85" s="318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1"/>
      <c r="T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</row>
    <row r="86" spans="1:34" ht="14.25" customHeight="1">
      <c r="A86" s="232"/>
      <c r="B86" s="324" t="s">
        <v>244</v>
      </c>
      <c r="C86" s="332"/>
      <c r="D86" s="354">
        <v>0</v>
      </c>
      <c r="E86" s="354">
        <v>0</v>
      </c>
      <c r="F86" s="354">
        <v>0</v>
      </c>
      <c r="G86" s="354">
        <v>3</v>
      </c>
      <c r="H86" s="354">
        <v>0</v>
      </c>
      <c r="I86" s="354">
        <v>6157</v>
      </c>
      <c r="J86" s="354">
        <v>208</v>
      </c>
      <c r="K86" s="354">
        <v>0</v>
      </c>
      <c r="L86" s="354">
        <v>0</v>
      </c>
      <c r="M86" s="354">
        <v>0</v>
      </c>
      <c r="N86" s="354">
        <v>0</v>
      </c>
      <c r="O86" s="354">
        <v>0</v>
      </c>
      <c r="P86" s="354">
        <v>0</v>
      </c>
      <c r="Q86" s="354">
        <v>0</v>
      </c>
      <c r="R86" s="354">
        <v>0</v>
      </c>
      <c r="S86" s="323">
        <v>6368</v>
      </c>
      <c r="T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</row>
    <row r="87" spans="1:34" ht="14.25" customHeight="1">
      <c r="A87" s="232"/>
      <c r="B87" s="324" t="s">
        <v>245</v>
      </c>
      <c r="C87" s="332"/>
      <c r="D87" s="354">
        <v>44867</v>
      </c>
      <c r="E87" s="354">
        <v>0</v>
      </c>
      <c r="F87" s="354">
        <v>0</v>
      </c>
      <c r="G87" s="354">
        <v>0</v>
      </c>
      <c r="H87" s="354">
        <v>0</v>
      </c>
      <c r="I87" s="354">
        <v>24954</v>
      </c>
      <c r="J87" s="354">
        <v>0</v>
      </c>
      <c r="K87" s="354">
        <v>0</v>
      </c>
      <c r="L87" s="354">
        <v>0</v>
      </c>
      <c r="M87" s="354">
        <v>0</v>
      </c>
      <c r="N87" s="354">
        <v>0</v>
      </c>
      <c r="O87" s="354">
        <v>0</v>
      </c>
      <c r="P87" s="354">
        <v>0</v>
      </c>
      <c r="Q87" s="354">
        <v>0</v>
      </c>
      <c r="R87" s="354">
        <v>0</v>
      </c>
      <c r="S87" s="323">
        <v>69821</v>
      </c>
      <c r="T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</row>
    <row r="88" spans="1:34" ht="14.25" customHeight="1">
      <c r="A88" s="232"/>
      <c r="B88" s="324" t="s">
        <v>246</v>
      </c>
      <c r="C88" s="332"/>
      <c r="D88" s="354">
        <v>16806</v>
      </c>
      <c r="E88" s="354">
        <v>0</v>
      </c>
      <c r="F88" s="354">
        <v>528</v>
      </c>
      <c r="G88" s="354">
        <v>56370</v>
      </c>
      <c r="H88" s="354">
        <v>0</v>
      </c>
      <c r="I88" s="354">
        <v>546080</v>
      </c>
      <c r="J88" s="354">
        <v>608239</v>
      </c>
      <c r="K88" s="354">
        <v>0</v>
      </c>
      <c r="L88" s="354">
        <v>0</v>
      </c>
      <c r="M88" s="354">
        <v>0</v>
      </c>
      <c r="N88" s="354">
        <v>0</v>
      </c>
      <c r="O88" s="354">
        <v>0</v>
      </c>
      <c r="P88" s="354">
        <v>0</v>
      </c>
      <c r="Q88" s="354">
        <v>0</v>
      </c>
      <c r="R88" s="354">
        <v>0</v>
      </c>
      <c r="S88" s="323">
        <v>1228023</v>
      </c>
      <c r="T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</row>
    <row r="89" spans="1:34">
      <c r="A89" s="232"/>
      <c r="B89" s="327" t="s">
        <v>283</v>
      </c>
      <c r="C89" s="328"/>
      <c r="D89" s="355">
        <v>61673</v>
      </c>
      <c r="E89" s="355">
        <v>0</v>
      </c>
      <c r="F89" s="355">
        <v>528</v>
      </c>
      <c r="G89" s="355">
        <v>56373</v>
      </c>
      <c r="H89" s="355">
        <v>0</v>
      </c>
      <c r="I89" s="355">
        <v>577191</v>
      </c>
      <c r="J89" s="355">
        <v>608447</v>
      </c>
      <c r="K89" s="355">
        <v>0</v>
      </c>
      <c r="L89" s="355">
        <v>0</v>
      </c>
      <c r="M89" s="355">
        <v>0</v>
      </c>
      <c r="N89" s="355">
        <v>0</v>
      </c>
      <c r="O89" s="355">
        <v>0</v>
      </c>
      <c r="P89" s="355">
        <v>0</v>
      </c>
      <c r="Q89" s="355">
        <v>0</v>
      </c>
      <c r="R89" s="355">
        <v>0</v>
      </c>
      <c r="S89" s="323">
        <v>1304212</v>
      </c>
      <c r="T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</row>
    <row r="90" spans="1:34">
      <c r="A90" s="232"/>
      <c r="B90" s="329" t="s">
        <v>284</v>
      </c>
      <c r="C90" s="318"/>
      <c r="D90" s="330"/>
      <c r="E90" s="330"/>
      <c r="F90" s="330"/>
      <c r="G90" s="330"/>
      <c r="H90" s="330"/>
      <c r="I90" s="330"/>
      <c r="J90" s="330"/>
      <c r="K90" s="330"/>
      <c r="L90" s="330"/>
      <c r="M90" s="330"/>
      <c r="N90" s="330"/>
      <c r="O90" s="330"/>
      <c r="P90" s="330"/>
      <c r="Q90" s="330"/>
      <c r="R90" s="330"/>
      <c r="S90" s="331"/>
      <c r="T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</row>
    <row r="91" spans="1:34" ht="14.25" customHeight="1">
      <c r="A91" s="232"/>
      <c r="B91" s="324" t="s">
        <v>249</v>
      </c>
      <c r="C91" s="332"/>
      <c r="D91" s="354">
        <v>0</v>
      </c>
      <c r="E91" s="354">
        <v>0</v>
      </c>
      <c r="F91" s="354">
        <v>919</v>
      </c>
      <c r="G91" s="354">
        <v>0</v>
      </c>
      <c r="H91" s="354">
        <v>0</v>
      </c>
      <c r="I91" s="354">
        <v>2386</v>
      </c>
      <c r="J91" s="354">
        <v>0</v>
      </c>
      <c r="K91" s="354">
        <v>0</v>
      </c>
      <c r="L91" s="354">
        <v>0</v>
      </c>
      <c r="M91" s="354">
        <v>0</v>
      </c>
      <c r="N91" s="354">
        <v>0</v>
      </c>
      <c r="O91" s="354">
        <v>0</v>
      </c>
      <c r="P91" s="354">
        <v>0</v>
      </c>
      <c r="Q91" s="354">
        <v>0</v>
      </c>
      <c r="R91" s="354">
        <v>0</v>
      </c>
      <c r="S91" s="323">
        <v>3305</v>
      </c>
      <c r="T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</row>
    <row r="92" spans="1:34">
      <c r="A92" s="232"/>
      <c r="B92" s="317" t="s">
        <v>285</v>
      </c>
      <c r="C92" s="333"/>
      <c r="D92" s="330"/>
      <c r="E92" s="330"/>
      <c r="F92" s="330"/>
      <c r="G92" s="330"/>
      <c r="H92" s="330"/>
      <c r="I92" s="330"/>
      <c r="J92" s="330"/>
      <c r="K92" s="330"/>
      <c r="L92" s="330"/>
      <c r="M92" s="330"/>
      <c r="N92" s="330"/>
      <c r="O92" s="330"/>
      <c r="P92" s="330"/>
      <c r="Q92" s="330"/>
      <c r="R92" s="330"/>
      <c r="S92" s="331"/>
      <c r="T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</row>
    <row r="93" spans="1:34">
      <c r="A93" s="232"/>
      <c r="B93" s="341" t="s">
        <v>4</v>
      </c>
      <c r="C93" s="342"/>
      <c r="D93" s="356"/>
      <c r="E93" s="357"/>
      <c r="F93" s="357"/>
      <c r="G93" s="357"/>
      <c r="H93" s="357"/>
      <c r="I93" s="357"/>
      <c r="J93" s="357"/>
      <c r="K93" s="357"/>
      <c r="L93" s="357"/>
      <c r="M93" s="357"/>
      <c r="N93" s="357"/>
      <c r="O93" s="357"/>
      <c r="P93" s="357"/>
      <c r="Q93" s="357"/>
      <c r="R93" s="358"/>
      <c r="S93" s="323">
        <v>12949</v>
      </c>
      <c r="T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</row>
    <row r="94" spans="1:34">
      <c r="A94" s="232"/>
      <c r="B94" s="341" t="s">
        <v>18</v>
      </c>
      <c r="C94" s="342"/>
      <c r="D94" s="359"/>
      <c r="E94" s="360"/>
      <c r="F94" s="360"/>
      <c r="G94" s="360"/>
      <c r="H94" s="360"/>
      <c r="I94" s="360"/>
      <c r="J94" s="360"/>
      <c r="K94" s="360"/>
      <c r="L94" s="360"/>
      <c r="M94" s="360"/>
      <c r="N94" s="360"/>
      <c r="O94" s="360"/>
      <c r="P94" s="360"/>
      <c r="Q94" s="360"/>
      <c r="R94" s="361"/>
      <c r="S94" s="323">
        <v>12265</v>
      </c>
      <c r="T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</row>
    <row r="95" spans="1:34" ht="14.25" customHeight="1">
      <c r="A95" s="232"/>
      <c r="B95" s="341" t="s">
        <v>266</v>
      </c>
      <c r="C95" s="343"/>
      <c r="D95" s="362"/>
      <c r="E95" s="363"/>
      <c r="F95" s="363"/>
      <c r="G95" s="363"/>
      <c r="H95" s="363"/>
      <c r="I95" s="363"/>
      <c r="J95" s="363"/>
      <c r="K95" s="363"/>
      <c r="L95" s="363"/>
      <c r="M95" s="363"/>
      <c r="N95" s="363"/>
      <c r="O95" s="363"/>
      <c r="P95" s="363"/>
      <c r="Q95" s="363"/>
      <c r="R95" s="364"/>
      <c r="S95" s="323">
        <v>-7736</v>
      </c>
      <c r="T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</row>
    <row r="96" spans="1:34" ht="13.5" thickBot="1">
      <c r="A96" s="232"/>
      <c r="B96" s="334" t="s">
        <v>250</v>
      </c>
      <c r="C96" s="335"/>
      <c r="D96" s="369">
        <v>1774249</v>
      </c>
      <c r="E96" s="369">
        <v>886137</v>
      </c>
      <c r="F96" s="369">
        <v>381247</v>
      </c>
      <c r="G96" s="369">
        <v>59829</v>
      </c>
      <c r="H96" s="369">
        <v>7425</v>
      </c>
      <c r="I96" s="369">
        <v>579577</v>
      </c>
      <c r="J96" s="369">
        <v>608447</v>
      </c>
      <c r="K96" s="369">
        <v>0</v>
      </c>
      <c r="L96" s="369">
        <v>132536</v>
      </c>
      <c r="M96" s="369">
        <v>35683</v>
      </c>
      <c r="N96" s="369">
        <v>0</v>
      </c>
      <c r="O96" s="369">
        <v>0</v>
      </c>
      <c r="P96" s="369">
        <v>7229</v>
      </c>
      <c r="Q96" s="369">
        <v>0</v>
      </c>
      <c r="R96" s="369">
        <v>0</v>
      </c>
      <c r="S96" s="370">
        <v>4489837</v>
      </c>
      <c r="T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</row>
    <row r="97" spans="1:34" s="232" customFormat="1">
      <c r="B97" s="237"/>
      <c r="C97" s="237"/>
      <c r="D97" s="452"/>
      <c r="E97" s="453"/>
      <c r="F97" s="453"/>
      <c r="G97" s="453"/>
      <c r="H97" s="453"/>
      <c r="I97" s="453"/>
      <c r="J97" s="453"/>
      <c r="K97" s="235"/>
      <c r="L97" s="453"/>
      <c r="M97" s="453"/>
      <c r="N97" s="235"/>
      <c r="O97" s="235"/>
      <c r="P97" s="235"/>
      <c r="Q97" s="235"/>
      <c r="R97" s="235"/>
      <c r="S97" s="454"/>
    </row>
    <row r="98" spans="1:34" s="232" customFormat="1">
      <c r="B98" s="477" t="s">
        <v>356</v>
      </c>
      <c r="S98" s="474"/>
    </row>
    <row r="99" spans="1:34" s="232" customFormat="1">
      <c r="B99" s="477" t="s">
        <v>357</v>
      </c>
      <c r="D99" s="477">
        <v>119436</v>
      </c>
      <c r="E99" s="477" t="s">
        <v>221</v>
      </c>
    </row>
    <row r="100" spans="1:34" s="232" customFormat="1">
      <c r="B100" s="477" t="s">
        <v>358</v>
      </c>
      <c r="D100" s="479">
        <v>106</v>
      </c>
      <c r="E100" s="479" t="s">
        <v>221</v>
      </c>
    </row>
    <row r="101" spans="1:34" s="232" customFormat="1">
      <c r="B101" s="478" t="s">
        <v>359</v>
      </c>
      <c r="D101" s="478">
        <v>119542</v>
      </c>
      <c r="E101" s="477" t="s">
        <v>221</v>
      </c>
    </row>
    <row r="102" spans="1:34" s="232" customFormat="1">
      <c r="D102" s="454"/>
    </row>
    <row r="103" spans="1:34" s="232" customFormat="1"/>
    <row r="104" spans="1:34" s="232" customFormat="1"/>
    <row r="105" spans="1:34" s="232" customFormat="1"/>
    <row r="106" spans="1:34" s="232" customFormat="1"/>
    <row r="107" spans="1:34" s="232" customFormat="1"/>
    <row r="108" spans="1:34">
      <c r="A108" s="232"/>
      <c r="B108" s="232"/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</row>
    <row r="109" spans="1:34">
      <c r="A109" s="232"/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</row>
    <row r="110" spans="1:34">
      <c r="A110" s="232"/>
      <c r="B110" s="232"/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</row>
    <row r="111" spans="1:34">
      <c r="A111" s="232"/>
      <c r="B111" s="232"/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</row>
    <row r="112" spans="1:34">
      <c r="A112" s="232"/>
      <c r="B112" s="232"/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</row>
    <row r="113" spans="1:34">
      <c r="A113" s="232"/>
      <c r="B113" s="232"/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</row>
    <row r="114" spans="1:34">
      <c r="A114" s="232"/>
      <c r="B114" s="232"/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</row>
    <row r="115" spans="1:34">
      <c r="A115" s="232"/>
      <c r="B115" s="232"/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</row>
    <row r="116" spans="1:34">
      <c r="A116" s="232"/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</row>
    <row r="117" spans="1:34">
      <c r="A117" s="232"/>
      <c r="B117" s="232"/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</row>
    <row r="118" spans="1:34">
      <c r="A118" s="232"/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</row>
    <row r="119" spans="1:34">
      <c r="A119" s="232"/>
      <c r="B119" s="232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</row>
    <row r="120" spans="1:34">
      <c r="A120" s="232"/>
      <c r="B120" s="232"/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</row>
    <row r="121" spans="1:34">
      <c r="A121" s="232"/>
      <c r="B121" s="232"/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</row>
    <row r="122" spans="1:34">
      <c r="A122" s="232"/>
      <c r="B122" s="232"/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</row>
    <row r="123" spans="1:34">
      <c r="A123" s="232"/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</row>
    <row r="124" spans="1:34">
      <c r="A124" s="232"/>
      <c r="B124" s="232"/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</row>
    <row r="125" spans="1:34">
      <c r="A125" s="232"/>
      <c r="B125" s="232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</row>
    <row r="126" spans="1:34">
      <c r="A126" s="232"/>
      <c r="B126" s="232"/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</row>
    <row r="127" spans="1:34">
      <c r="A127" s="232"/>
      <c r="B127" s="232"/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</row>
    <row r="128" spans="1:34">
      <c r="A128" s="232"/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</row>
    <row r="129" spans="1:34">
      <c r="A129" s="232"/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</row>
    <row r="130" spans="1:34">
      <c r="A130" s="232"/>
      <c r="B130" s="232"/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</row>
    <row r="131" spans="1:34">
      <c r="A131" s="232"/>
      <c r="B131" s="232"/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</row>
    <row r="132" spans="1:34">
      <c r="A132" s="232"/>
      <c r="B132" s="232"/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</row>
    <row r="133" spans="1:34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</row>
    <row r="134" spans="1:34">
      <c r="A134" s="232"/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</row>
    <row r="135" spans="1:34">
      <c r="A135" s="232"/>
      <c r="B135" s="232"/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</row>
    <row r="136" spans="1:34">
      <c r="A136" s="232"/>
      <c r="B136" s="232"/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</row>
    <row r="137" spans="1:34">
      <c r="A137" s="232"/>
      <c r="B137" s="232"/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</row>
    <row r="138" spans="1:34">
      <c r="A138" s="232"/>
      <c r="B138" s="232"/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</row>
    <row r="139" spans="1:34">
      <c r="A139" s="232"/>
      <c r="B139" s="232"/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</row>
    <row r="140" spans="1:34">
      <c r="A140" s="232"/>
      <c r="B140" s="232"/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</row>
    <row r="141" spans="1:34">
      <c r="A141" s="232"/>
      <c r="B141" s="232"/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</row>
    <row r="142" spans="1:34">
      <c r="A142" s="232"/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</row>
    <row r="143" spans="1:34">
      <c r="A143" s="232"/>
      <c r="B143" s="232"/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</row>
    <row r="144" spans="1:34">
      <c r="A144" s="232"/>
      <c r="B144" s="232"/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</row>
    <row r="145" spans="1:34">
      <c r="A145" s="232"/>
      <c r="B145" s="232"/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</row>
    <row r="146" spans="1:34">
      <c r="A146" s="232"/>
      <c r="B146" s="232"/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</row>
    <row r="147" spans="1:34">
      <c r="A147" s="232"/>
      <c r="B147" s="232"/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</row>
    <row r="148" spans="1:34">
      <c r="A148" s="232"/>
      <c r="B148" s="232"/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</row>
    <row r="149" spans="1:34">
      <c r="A149" s="232"/>
      <c r="B149" s="232"/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</row>
    <row r="150" spans="1:34">
      <c r="A150" s="232"/>
      <c r="B150" s="232"/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</row>
    <row r="151" spans="1:34">
      <c r="A151" s="232"/>
      <c r="B151" s="232"/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</row>
    <row r="152" spans="1:34">
      <c r="A152" s="232"/>
      <c r="B152" s="232"/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</row>
    <row r="153" spans="1:34">
      <c r="A153" s="232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</row>
    <row r="154" spans="1:34">
      <c r="A154" s="232"/>
      <c r="B154" s="232"/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</row>
    <row r="155" spans="1:34">
      <c r="A155" s="232"/>
      <c r="B155" s="232"/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</row>
    <row r="156" spans="1:34">
      <c r="A156" s="232"/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</row>
    <row r="157" spans="1:34">
      <c r="A157" s="232"/>
      <c r="B157" s="232"/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</row>
    <row r="158" spans="1:34">
      <c r="A158" s="232"/>
      <c r="B158" s="232"/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</row>
    <row r="159" spans="1:34">
      <c r="A159" s="232"/>
      <c r="B159" s="232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</row>
    <row r="160" spans="1:34">
      <c r="A160" s="232"/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</row>
    <row r="161" spans="1:34">
      <c r="A161" s="232"/>
      <c r="B161" s="232"/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</row>
    <row r="162" spans="1:34">
      <c r="A162" s="232"/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</row>
    <row r="163" spans="1:34">
      <c r="A163" s="232"/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</row>
    <row r="164" spans="1:34">
      <c r="A164" s="232"/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</row>
    <row r="165" spans="1:34">
      <c r="A165" s="232"/>
      <c r="B165" s="232"/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</row>
    <row r="166" spans="1:34">
      <c r="A166" s="232"/>
      <c r="B166" s="232"/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</row>
    <row r="167" spans="1:34">
      <c r="A167" s="232"/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</row>
    <row r="168" spans="1:34">
      <c r="A168" s="232"/>
      <c r="B168" s="232"/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</row>
    <row r="169" spans="1:34">
      <c r="A169" s="232"/>
      <c r="B169" s="232"/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</row>
    <row r="170" spans="1:34">
      <c r="A170" s="232"/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</row>
    <row r="171" spans="1:34">
      <c r="A171" s="232"/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</row>
    <row r="172" spans="1:34">
      <c r="A172" s="232"/>
      <c r="B172" s="232"/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</row>
    <row r="173" spans="1:34">
      <c r="A173" s="232"/>
      <c r="B173" s="232"/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</row>
    <row r="174" spans="1:34">
      <c r="A174" s="232"/>
      <c r="B174" s="232"/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</row>
    <row r="175" spans="1:34">
      <c r="A175" s="232"/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</row>
    <row r="176" spans="1:34">
      <c r="A176" s="232"/>
      <c r="B176" s="232"/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</row>
    <row r="177" spans="1:34">
      <c r="A177" s="232"/>
      <c r="B177" s="232"/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</row>
    <row r="178" spans="1:34">
      <c r="A178" s="232"/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</row>
    <row r="179" spans="1:34">
      <c r="A179" s="232"/>
      <c r="B179" s="232"/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</row>
    <row r="180" spans="1:34">
      <c r="A180" s="232"/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</row>
    <row r="181" spans="1:34">
      <c r="A181" s="232"/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</row>
    <row r="182" spans="1:34">
      <c r="A182" s="232"/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</row>
    <row r="183" spans="1:34">
      <c r="A183" s="232"/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</row>
    <row r="184" spans="1:34">
      <c r="A184" s="232"/>
      <c r="B184" s="232"/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</row>
    <row r="185" spans="1:34">
      <c r="A185" s="232"/>
      <c r="B185" s="232"/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</row>
    <row r="186" spans="1:34">
      <c r="A186" s="232"/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</row>
    <row r="187" spans="1:34">
      <c r="A187" s="232"/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</row>
    <row r="188" spans="1:34">
      <c r="A188" s="232"/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</row>
    <row r="189" spans="1:34">
      <c r="A189" s="232"/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</row>
    <row r="190" spans="1:34">
      <c r="A190" s="232"/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</row>
    <row r="191" spans="1:34">
      <c r="A191" s="232"/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</row>
    <row r="192" spans="1:34">
      <c r="A192" s="232"/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</row>
    <row r="193" spans="1:34">
      <c r="A193" s="232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</row>
    <row r="194" spans="1:34">
      <c r="A194" s="232"/>
      <c r="B194" s="232"/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</row>
    <row r="195" spans="1:34">
      <c r="A195" s="232"/>
      <c r="B195" s="232"/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</row>
    <row r="196" spans="1:34">
      <c r="A196" s="232"/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</row>
    <row r="197" spans="1:34">
      <c r="A197" s="232"/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</row>
    <row r="198" spans="1:34">
      <c r="A198" s="232"/>
      <c r="B198" s="232"/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</row>
    <row r="199" spans="1:34">
      <c r="A199" s="232"/>
      <c r="B199" s="232"/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</row>
    <row r="200" spans="1:34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</row>
    <row r="201" spans="1:34">
      <c r="A201" s="232"/>
      <c r="B201" s="232"/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</row>
    <row r="202" spans="1:34">
      <c r="A202" s="232"/>
      <c r="B202" s="232"/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</row>
    <row r="203" spans="1:34">
      <c r="A203" s="232"/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</row>
    <row r="204" spans="1:34">
      <c r="A204" s="232"/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</row>
    <row r="205" spans="1:34">
      <c r="A205" s="232"/>
      <c r="B205" s="232"/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</row>
    <row r="206" spans="1:34">
      <c r="A206" s="232"/>
      <c r="B206" s="232"/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</row>
    <row r="207" spans="1:34">
      <c r="A207" s="232"/>
      <c r="B207" s="232"/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</row>
    <row r="208" spans="1:34">
      <c r="A208" s="232"/>
      <c r="B208" s="232"/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</row>
    <row r="209" spans="1:34">
      <c r="A209" s="232"/>
      <c r="B209" s="232"/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</row>
    <row r="210" spans="1:34">
      <c r="A210" s="232"/>
      <c r="B210" s="232"/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</row>
    <row r="211" spans="1:34">
      <c r="A211" s="232"/>
      <c r="B211" s="232"/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</row>
    <row r="212" spans="1:34">
      <c r="A212" s="232"/>
      <c r="B212" s="232"/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</row>
    <row r="213" spans="1:34">
      <c r="A213" s="232"/>
      <c r="B213" s="232"/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</row>
    <row r="214" spans="1:34">
      <c r="A214" s="232"/>
      <c r="B214" s="232"/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</row>
    <row r="215" spans="1:34">
      <c r="A215" s="232"/>
      <c r="B215" s="232"/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</row>
    <row r="216" spans="1:34">
      <c r="A216" s="232"/>
      <c r="B216" s="232"/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</row>
    <row r="217" spans="1:34">
      <c r="A217" s="232"/>
      <c r="B217" s="232"/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</row>
    <row r="218" spans="1:34">
      <c r="A218" s="232"/>
      <c r="B218" s="232"/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</row>
    <row r="219" spans="1:34">
      <c r="A219" s="232"/>
      <c r="B219" s="232"/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</row>
    <row r="220" spans="1:34">
      <c r="A220" s="232"/>
      <c r="B220" s="232"/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</row>
    <row r="221" spans="1:34">
      <c r="A221" s="232"/>
      <c r="B221" s="232"/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</row>
    <row r="222" spans="1:34">
      <c r="A222" s="232"/>
      <c r="B222" s="232"/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</row>
    <row r="223" spans="1:34">
      <c r="A223" s="232"/>
      <c r="B223" s="232"/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</row>
    <row r="224" spans="1:34">
      <c r="A224" s="232"/>
      <c r="B224" s="232"/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  <c r="AH224" s="232"/>
    </row>
    <row r="225" spans="1:34">
      <c r="A225" s="232"/>
      <c r="B225" s="232"/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  <c r="AH225" s="232"/>
    </row>
    <row r="226" spans="1:34">
      <c r="A226" s="232"/>
      <c r="B226" s="232"/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</row>
    <row r="227" spans="1:34">
      <c r="A227" s="232"/>
      <c r="B227" s="232"/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</row>
    <row r="228" spans="1:34">
      <c r="A228" s="232"/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</row>
    <row r="229" spans="1:34">
      <c r="A229" s="232"/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  <c r="AG229" s="232"/>
      <c r="AH229" s="232"/>
    </row>
    <row r="230" spans="1:34">
      <c r="A230" s="232"/>
      <c r="B230" s="232"/>
      <c r="C230" s="232"/>
      <c r="D230" s="232"/>
      <c r="E230" s="232"/>
      <c r="F230" s="232"/>
      <c r="G230" s="232"/>
      <c r="H230" s="232"/>
      <c r="I230" s="232"/>
      <c r="J230" s="232"/>
      <c r="K230" s="232"/>
      <c r="L230" s="232"/>
      <c r="M230" s="232"/>
      <c r="N230" s="232"/>
      <c r="O230" s="232"/>
      <c r="P230" s="232"/>
      <c r="Q230" s="232"/>
      <c r="R230" s="232"/>
      <c r="S230" s="232"/>
      <c r="T230" s="232"/>
      <c r="V230" s="232"/>
      <c r="W230" s="232"/>
      <c r="X230" s="232"/>
      <c r="Y230" s="232"/>
      <c r="Z230" s="232"/>
      <c r="AA230" s="232"/>
      <c r="AB230" s="232"/>
      <c r="AC230" s="232"/>
      <c r="AD230" s="232"/>
      <c r="AE230" s="232"/>
      <c r="AF230" s="232"/>
      <c r="AG230" s="232"/>
      <c r="AH230" s="232"/>
    </row>
    <row r="231" spans="1:34">
      <c r="A231" s="232"/>
      <c r="B231" s="232"/>
      <c r="C231" s="232"/>
      <c r="D231" s="232"/>
      <c r="E231" s="232"/>
      <c r="F231" s="232"/>
      <c r="G231" s="232"/>
      <c r="H231" s="232"/>
      <c r="I231" s="232"/>
      <c r="J231" s="232"/>
      <c r="K231" s="232"/>
      <c r="L231" s="232"/>
      <c r="M231" s="232"/>
      <c r="N231" s="232"/>
      <c r="O231" s="232"/>
      <c r="P231" s="232"/>
      <c r="Q231" s="232"/>
      <c r="R231" s="232"/>
      <c r="S231" s="232"/>
      <c r="T231" s="232"/>
      <c r="V231" s="232"/>
      <c r="W231" s="232"/>
      <c r="X231" s="232"/>
      <c r="Y231" s="232"/>
      <c r="Z231" s="232"/>
      <c r="AA231" s="232"/>
      <c r="AB231" s="232"/>
      <c r="AC231" s="232"/>
      <c r="AD231" s="232"/>
      <c r="AE231" s="232"/>
      <c r="AF231" s="232"/>
      <c r="AG231" s="232"/>
      <c r="AH231" s="232"/>
    </row>
    <row r="232" spans="1:34">
      <c r="A232" s="232"/>
      <c r="B232" s="232"/>
      <c r="C232" s="232"/>
      <c r="D232" s="232"/>
      <c r="E232" s="232"/>
      <c r="F232" s="232"/>
      <c r="G232" s="232"/>
      <c r="H232" s="232"/>
      <c r="I232" s="232"/>
      <c r="J232" s="232"/>
      <c r="K232" s="232"/>
      <c r="L232" s="232"/>
      <c r="M232" s="232"/>
      <c r="N232" s="232"/>
      <c r="O232" s="232"/>
      <c r="P232" s="232"/>
      <c r="Q232" s="232"/>
      <c r="R232" s="232"/>
      <c r="S232" s="232"/>
      <c r="T232" s="232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  <c r="AF232" s="232"/>
      <c r="AG232" s="232"/>
      <c r="AH232" s="232"/>
    </row>
    <row r="233" spans="1:34">
      <c r="A233" s="232"/>
      <c r="B233" s="232"/>
      <c r="C233" s="232"/>
      <c r="D233" s="232"/>
      <c r="E233" s="232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  <c r="P233" s="232"/>
      <c r="Q233" s="232"/>
      <c r="R233" s="232"/>
      <c r="S233" s="232"/>
      <c r="T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  <c r="AF233" s="232"/>
      <c r="AG233" s="232"/>
      <c r="AH233" s="232"/>
    </row>
    <row r="234" spans="1:34">
      <c r="A234" s="232"/>
      <c r="B234" s="232"/>
      <c r="C234" s="232"/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232"/>
      <c r="AG234" s="232"/>
      <c r="AH234" s="232"/>
    </row>
    <row r="235" spans="1:34">
      <c r="A235" s="232"/>
      <c r="B235" s="232"/>
      <c r="C235" s="232"/>
      <c r="D235" s="232"/>
      <c r="E235" s="232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F235" s="232"/>
      <c r="AG235" s="232"/>
      <c r="AH235" s="232"/>
    </row>
    <row r="236" spans="1:34">
      <c r="A236" s="232"/>
      <c r="B236" s="232"/>
      <c r="C236" s="232"/>
      <c r="D236" s="232"/>
      <c r="E236" s="232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  <c r="AF236" s="232"/>
      <c r="AG236" s="232"/>
      <c r="AH236" s="232"/>
    </row>
    <row r="237" spans="1:34">
      <c r="A237" s="232"/>
      <c r="B237" s="232"/>
      <c r="C237" s="232"/>
      <c r="D237" s="232"/>
      <c r="E237" s="232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232"/>
      <c r="AG237" s="232"/>
      <c r="AH237" s="232"/>
    </row>
    <row r="238" spans="1:34">
      <c r="A238" s="232"/>
      <c r="B238" s="232"/>
      <c r="C238" s="232"/>
      <c r="D238" s="232"/>
      <c r="E238" s="232"/>
      <c r="F238" s="232"/>
      <c r="G238" s="232"/>
      <c r="H238" s="232"/>
      <c r="I238" s="232"/>
      <c r="J238" s="232"/>
      <c r="K238" s="232"/>
      <c r="L238" s="232"/>
      <c r="M238" s="232"/>
      <c r="N238" s="232"/>
      <c r="O238" s="232"/>
      <c r="P238" s="232"/>
      <c r="Q238" s="232"/>
      <c r="R238" s="232"/>
      <c r="S238" s="232"/>
      <c r="T238" s="232"/>
      <c r="V238" s="232"/>
      <c r="W238" s="232"/>
      <c r="X238" s="232"/>
      <c r="Y238" s="232"/>
      <c r="Z238" s="232"/>
      <c r="AA238" s="232"/>
      <c r="AB238" s="232"/>
      <c r="AC238" s="232"/>
      <c r="AD238" s="232"/>
      <c r="AE238" s="232"/>
      <c r="AF238" s="232"/>
      <c r="AG238" s="232"/>
      <c r="AH238" s="232"/>
    </row>
  </sheetData>
  <mergeCells count="43">
    <mergeCell ref="S74:S75"/>
    <mergeCell ref="B81:B83"/>
    <mergeCell ref="B58:B59"/>
    <mergeCell ref="C58:D58"/>
    <mergeCell ref="E58:E59"/>
    <mergeCell ref="F58:M58"/>
    <mergeCell ref="N58:R58"/>
    <mergeCell ref="B73:C75"/>
    <mergeCell ref="D73:S73"/>
    <mergeCell ref="D74:D75"/>
    <mergeCell ref="E74:E75"/>
    <mergeCell ref="F74:M74"/>
    <mergeCell ref="N74:R74"/>
    <mergeCell ref="M42:M43"/>
    <mergeCell ref="N42:N43"/>
    <mergeCell ref="E41:N41"/>
    <mergeCell ref="N12:R12"/>
    <mergeCell ref="B49:B51"/>
    <mergeCell ref="C49:D50"/>
    <mergeCell ref="E49:N49"/>
    <mergeCell ref="O49:P50"/>
    <mergeCell ref="E50:I50"/>
    <mergeCell ref="J50:J51"/>
    <mergeCell ref="K50:K51"/>
    <mergeCell ref="L50:L51"/>
    <mergeCell ref="M50:M51"/>
    <mergeCell ref="N50:N51"/>
    <mergeCell ref="S12:S13"/>
    <mergeCell ref="B19:B21"/>
    <mergeCell ref="B27:C27"/>
    <mergeCell ref="B30:C30"/>
    <mergeCell ref="B41:B43"/>
    <mergeCell ref="C41:D42"/>
    <mergeCell ref="B11:C13"/>
    <mergeCell ref="D11:S11"/>
    <mergeCell ref="D12:D13"/>
    <mergeCell ref="E12:E13"/>
    <mergeCell ref="F12:M12"/>
    <mergeCell ref="O41:P42"/>
    <mergeCell ref="E42:I42"/>
    <mergeCell ref="J42:J43"/>
    <mergeCell ref="K42:K43"/>
    <mergeCell ref="L42:L43"/>
  </mergeCells>
  <pageMargins left="0.7" right="0.7" top="0.75" bottom="0.75" header="0.3" footer="0.3"/>
  <pageSetup paperSize="9" orientation="portrait" horizontalDpi="360" verticalDpi="36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BH125"/>
  <sheetViews>
    <sheetView tabSelected="1" topLeftCell="A136" zoomScale="85" zoomScaleNormal="85" workbookViewId="0">
      <selection activeCell="B5" sqref="B5"/>
    </sheetView>
  </sheetViews>
  <sheetFormatPr defaultRowHeight="15"/>
  <cols>
    <col min="1" max="1" width="9.28515625" style="3" bestFit="1" customWidth="1"/>
    <col min="2" max="2" width="30.85546875" customWidth="1"/>
    <col min="3" max="3" width="15.7109375" bestFit="1" customWidth="1"/>
    <col min="4" max="6" width="12.85546875" style="481" customWidth="1"/>
    <col min="7" max="7" width="12.85546875" style="231" customWidth="1"/>
    <col min="8" max="11" width="12.85546875" style="481" customWidth="1"/>
    <col min="12" max="12" width="15.7109375" bestFit="1" customWidth="1"/>
    <col min="13" max="13" width="10.85546875" customWidth="1"/>
    <col min="14" max="14" width="9.7109375" style="231" customWidth="1"/>
    <col min="15" max="15" width="9.28515625" bestFit="1" customWidth="1"/>
    <col min="16" max="18" width="9.28515625" style="481" customWidth="1"/>
    <col min="19" max="19" width="9.28515625" style="231" customWidth="1"/>
    <col min="20" max="23" width="9.28515625" style="481" customWidth="1"/>
    <col min="24" max="24" width="9.28515625" bestFit="1" customWidth="1"/>
    <col min="25" max="26" width="14.85546875" style="3" bestFit="1" customWidth="1"/>
    <col min="27" max="27" width="12.140625" style="3" bestFit="1" customWidth="1"/>
    <col min="28" max="60" width="9.140625" style="3"/>
  </cols>
  <sheetData>
    <row r="1" spans="1:60" s="3" customFormat="1">
      <c r="D1" s="486"/>
      <c r="E1" s="486"/>
      <c r="F1" s="486"/>
      <c r="H1" s="486"/>
      <c r="I1" s="486"/>
      <c r="J1" s="486"/>
      <c r="K1" s="486"/>
      <c r="P1" s="486"/>
      <c r="Q1" s="486"/>
      <c r="R1" s="486"/>
      <c r="T1" s="486"/>
      <c r="U1" s="486"/>
      <c r="V1" s="486"/>
      <c r="W1" s="486"/>
    </row>
    <row r="2" spans="1:60" s="3" customFormat="1" ht="15.75" thickBot="1">
      <c r="D2" s="486"/>
      <c r="E2" s="486"/>
      <c r="F2" s="486"/>
      <c r="H2" s="486"/>
      <c r="I2" s="486"/>
      <c r="J2" s="486"/>
      <c r="K2" s="486"/>
      <c r="P2" s="486"/>
      <c r="Q2" s="486"/>
      <c r="R2" s="486"/>
      <c r="T2" s="486"/>
      <c r="U2" s="486"/>
      <c r="V2" s="486"/>
      <c r="W2" s="486"/>
    </row>
    <row r="3" spans="1:60" ht="15.75" thickBot="1">
      <c r="B3" s="593" t="s">
        <v>103</v>
      </c>
      <c r="C3" s="595" t="s">
        <v>101</v>
      </c>
      <c r="D3" s="582"/>
      <c r="E3" s="582"/>
      <c r="F3" s="582"/>
      <c r="G3" s="582"/>
      <c r="H3" s="582"/>
      <c r="I3" s="582"/>
      <c r="J3" s="582"/>
      <c r="K3" s="582"/>
      <c r="L3" s="582"/>
      <c r="M3" s="593" t="s">
        <v>340</v>
      </c>
      <c r="N3" s="593" t="s">
        <v>314</v>
      </c>
      <c r="O3" s="595" t="s">
        <v>102</v>
      </c>
      <c r="P3" s="582"/>
      <c r="Q3" s="582"/>
      <c r="R3" s="582"/>
      <c r="S3" s="582"/>
      <c r="T3" s="582"/>
      <c r="U3" s="582"/>
      <c r="V3" s="582"/>
      <c r="W3" s="582"/>
      <c r="X3" s="583"/>
    </row>
    <row r="4" spans="1:60" ht="15.75" customHeight="1">
      <c r="B4" s="594"/>
      <c r="C4" s="48">
        <v>1990</v>
      </c>
      <c r="D4" s="48">
        <v>2013</v>
      </c>
      <c r="E4" s="48">
        <v>2014</v>
      </c>
      <c r="F4" s="48">
        <v>2015</v>
      </c>
      <c r="G4" s="48">
        <v>2016</v>
      </c>
      <c r="H4" s="48">
        <v>2017</v>
      </c>
      <c r="I4" s="48">
        <v>2018</v>
      </c>
      <c r="J4" s="48">
        <v>2019</v>
      </c>
      <c r="K4" s="48">
        <v>2020</v>
      </c>
      <c r="L4" s="48">
        <v>2021</v>
      </c>
      <c r="M4" s="594"/>
      <c r="N4" s="594"/>
      <c r="O4" s="48">
        <v>1990</v>
      </c>
      <c r="P4" s="48">
        <v>2013</v>
      </c>
      <c r="Q4" s="48">
        <v>2014</v>
      </c>
      <c r="R4" s="48">
        <v>2015</v>
      </c>
      <c r="S4" s="48">
        <v>2016</v>
      </c>
      <c r="T4" s="48">
        <v>2017</v>
      </c>
      <c r="U4" s="48">
        <v>2018</v>
      </c>
      <c r="V4" s="48">
        <v>2019</v>
      </c>
      <c r="W4" s="48">
        <v>2020</v>
      </c>
      <c r="X4" s="48">
        <v>2021</v>
      </c>
    </row>
    <row r="5" spans="1:60">
      <c r="B5" s="54" t="s">
        <v>0</v>
      </c>
      <c r="C5" s="230">
        <v>1777035</v>
      </c>
      <c r="D5" s="437">
        <v>1555853</v>
      </c>
      <c r="E5" s="437">
        <v>1316260</v>
      </c>
      <c r="F5" s="437">
        <v>1335603</v>
      </c>
      <c r="G5" s="437">
        <v>1499768</v>
      </c>
      <c r="H5" s="437">
        <v>1452910</v>
      </c>
      <c r="I5" s="437">
        <v>1417181</v>
      </c>
      <c r="J5" s="437">
        <v>1379351</v>
      </c>
      <c r="K5" s="437">
        <v>1375325</v>
      </c>
      <c r="L5" s="507">
        <v>1442453</v>
      </c>
      <c r="M5" s="491">
        <v>-0.18828104117251487</v>
      </c>
      <c r="N5" s="50">
        <v>4.8808827004526156E-2</v>
      </c>
      <c r="O5" s="51">
        <v>0.36838253814093824</v>
      </c>
      <c r="P5" s="51">
        <v>0.35754094299532718</v>
      </c>
      <c r="Q5" s="51">
        <v>0.31628852503135829</v>
      </c>
      <c r="R5" s="51">
        <v>0.31348967253828658</v>
      </c>
      <c r="S5" s="439">
        <v>0.32534558673113556</v>
      </c>
      <c r="T5" s="439">
        <v>0.31213545240531054</v>
      </c>
      <c r="U5" s="439">
        <v>0.28989174120658112</v>
      </c>
      <c r="V5" s="439">
        <v>0.28066748084967497</v>
      </c>
      <c r="W5" s="439">
        <v>0.33515990904325565</v>
      </c>
      <c r="X5" s="500">
        <v>0.31289184608733622</v>
      </c>
    </row>
    <row r="6" spans="1:60">
      <c r="B6" s="54" t="s">
        <v>54</v>
      </c>
      <c r="C6" s="230">
        <v>583207</v>
      </c>
      <c r="D6" s="437">
        <v>1114007</v>
      </c>
      <c r="E6" s="437">
        <v>1027686</v>
      </c>
      <c r="F6" s="437">
        <v>1054596</v>
      </c>
      <c r="G6" s="437">
        <v>1145131</v>
      </c>
      <c r="H6" s="437">
        <v>1162780</v>
      </c>
      <c r="I6" s="437">
        <v>1219625</v>
      </c>
      <c r="J6" s="437">
        <v>1237166</v>
      </c>
      <c r="K6" s="437">
        <v>1051388</v>
      </c>
      <c r="L6" s="507">
        <v>1103873</v>
      </c>
      <c r="M6" s="491">
        <v>0.89276363280962001</v>
      </c>
      <c r="N6" s="50">
        <v>4.9919725163307893E-2</v>
      </c>
      <c r="O6" s="51">
        <v>0.12089985561430258</v>
      </c>
      <c r="P6" s="439">
        <v>0.25600304995613044</v>
      </c>
      <c r="Q6" s="439">
        <v>0.24694611181330167</v>
      </c>
      <c r="R6" s="439">
        <v>0.24753235407541527</v>
      </c>
      <c r="S6" s="439">
        <v>0.24841396607942828</v>
      </c>
      <c r="T6" s="439">
        <v>0.24980546719882649</v>
      </c>
      <c r="U6" s="439">
        <v>0.24948063435021814</v>
      </c>
      <c r="V6" s="439">
        <v>0.2517359719265575</v>
      </c>
      <c r="W6" s="439">
        <v>0.25621806223923105</v>
      </c>
      <c r="X6" s="500">
        <v>0.23944825988504728</v>
      </c>
    </row>
    <row r="7" spans="1:60">
      <c r="B7" s="54" t="s">
        <v>42</v>
      </c>
      <c r="C7" s="230">
        <v>46541</v>
      </c>
      <c r="D7" s="437">
        <v>33413</v>
      </c>
      <c r="E7" s="437">
        <v>29702</v>
      </c>
      <c r="F7" s="437">
        <v>26838</v>
      </c>
      <c r="G7" s="437">
        <v>24256</v>
      </c>
      <c r="H7" s="437">
        <v>23418</v>
      </c>
      <c r="I7" s="437">
        <v>22534</v>
      </c>
      <c r="J7" s="437">
        <v>25185</v>
      </c>
      <c r="K7" s="437">
        <v>21285</v>
      </c>
      <c r="L7" s="507">
        <v>17895</v>
      </c>
      <c r="M7" s="491">
        <v>-0.61550031155325413</v>
      </c>
      <c r="N7" s="50">
        <v>-0.15926708949964763</v>
      </c>
      <c r="O7" s="51">
        <v>9.6480326541781153E-3</v>
      </c>
      <c r="P7" s="439">
        <v>7.6784346132332979E-3</v>
      </c>
      <c r="Q7" s="439">
        <v>7.1371930853185569E-3</v>
      </c>
      <c r="R7" s="439">
        <v>6.2993537986830925E-3</v>
      </c>
      <c r="S7" s="439">
        <v>5.2618688702188764E-3</v>
      </c>
      <c r="T7" s="439">
        <v>5.0309984957275832E-3</v>
      </c>
      <c r="U7" s="439">
        <v>4.6094468500135826E-3</v>
      </c>
      <c r="V7" s="439">
        <v>5.1245915689328275E-3</v>
      </c>
      <c r="W7" s="439">
        <v>5.1870493621403637E-3</v>
      </c>
      <c r="X7" s="500">
        <v>3.8817206423591489E-3</v>
      </c>
    </row>
    <row r="8" spans="1:60">
      <c r="B8" s="54" t="s">
        <v>46</v>
      </c>
      <c r="C8" s="230">
        <v>455476</v>
      </c>
      <c r="D8" s="437">
        <v>941650</v>
      </c>
      <c r="E8" s="437">
        <v>981307</v>
      </c>
      <c r="F8" s="437">
        <v>1014791</v>
      </c>
      <c r="G8" s="437">
        <v>1051632</v>
      </c>
      <c r="H8" s="437">
        <v>1099967</v>
      </c>
      <c r="I8" s="437">
        <v>1139908</v>
      </c>
      <c r="J8" s="437">
        <v>1172607</v>
      </c>
      <c r="K8" s="437">
        <v>953296</v>
      </c>
      <c r="L8" s="507">
        <v>1245368</v>
      </c>
      <c r="M8" s="491">
        <v>1.7342121209459993</v>
      </c>
      <c r="N8" s="50">
        <v>0.30638122891525832</v>
      </c>
      <c r="O8" s="51">
        <v>9.4420990550147854E-2</v>
      </c>
      <c r="P8" s="439">
        <v>0.21639475514174528</v>
      </c>
      <c r="Q8" s="439">
        <v>0.23580154652800139</v>
      </c>
      <c r="R8" s="439">
        <v>0.23818941578058778</v>
      </c>
      <c r="S8" s="439">
        <v>0.22813117099793936</v>
      </c>
      <c r="T8" s="439">
        <v>0.23631105655265103</v>
      </c>
      <c r="U8" s="439">
        <v>0.23317410756657864</v>
      </c>
      <c r="V8" s="439">
        <v>0.23859964049520016</v>
      </c>
      <c r="W8" s="439">
        <v>0.23231352636743999</v>
      </c>
      <c r="X8" s="500">
        <v>0.2701408590630639</v>
      </c>
    </row>
    <row r="9" spans="1:60">
      <c r="B9" s="54" t="s">
        <v>71</v>
      </c>
      <c r="C9" s="230">
        <v>118779</v>
      </c>
      <c r="D9" s="437">
        <v>66053</v>
      </c>
      <c r="E9" s="437">
        <v>66725</v>
      </c>
      <c r="F9" s="437">
        <v>64502</v>
      </c>
      <c r="G9" s="437">
        <v>64508</v>
      </c>
      <c r="H9" s="437">
        <v>65196</v>
      </c>
      <c r="I9" s="437">
        <v>63433</v>
      </c>
      <c r="J9" s="437">
        <v>63645</v>
      </c>
      <c r="K9" s="437">
        <v>59878</v>
      </c>
      <c r="L9" s="507">
        <v>58844</v>
      </c>
      <c r="M9" s="491">
        <v>-0.50459256265838237</v>
      </c>
      <c r="N9" s="50">
        <v>-1.7268445839874413E-2</v>
      </c>
      <c r="O9" s="51">
        <v>2.4623099431267538E-2</v>
      </c>
      <c r="P9" s="439">
        <v>1.5179230883425585E-2</v>
      </c>
      <c r="Q9" s="439">
        <v>1.6033573786879023E-2</v>
      </c>
      <c r="R9" s="439">
        <v>1.5139761484561325E-2</v>
      </c>
      <c r="S9" s="439">
        <v>1.3993759774079786E-2</v>
      </c>
      <c r="T9" s="439">
        <v>1.4006361684492933E-2</v>
      </c>
      <c r="U9" s="439">
        <v>1.2931570558452057E-2</v>
      </c>
      <c r="V9" s="439">
        <v>1.2950352606898146E-2</v>
      </c>
      <c r="W9" s="439">
        <v>1.4591972830925098E-2</v>
      </c>
      <c r="X9" s="500">
        <v>1.2764234114500238E-2</v>
      </c>
    </row>
    <row r="10" spans="1:60" s="231" customFormat="1">
      <c r="A10" s="3"/>
      <c r="B10" s="55" t="s">
        <v>353</v>
      </c>
      <c r="C10" s="230">
        <v>0</v>
      </c>
      <c r="D10" s="438">
        <v>114480</v>
      </c>
      <c r="E10" s="438">
        <v>128437</v>
      </c>
      <c r="F10" s="438">
        <v>141806</v>
      </c>
      <c r="G10" s="438">
        <v>189744</v>
      </c>
      <c r="H10" s="438">
        <v>190983</v>
      </c>
      <c r="I10" s="438">
        <v>216337</v>
      </c>
      <c r="J10" s="438">
        <v>214370</v>
      </c>
      <c r="K10" s="438">
        <v>6386</v>
      </c>
      <c r="L10" s="508">
        <v>119436</v>
      </c>
      <c r="M10" s="491">
        <v>1</v>
      </c>
      <c r="N10" s="50">
        <v>17.702787347322268</v>
      </c>
      <c r="O10" s="51">
        <v>0</v>
      </c>
      <c r="P10" s="439">
        <v>2.6307939859424416E-2</v>
      </c>
      <c r="Q10" s="439">
        <v>3.0862557009597315E-2</v>
      </c>
      <c r="R10" s="439">
        <v>3.3284379043745982E-2</v>
      </c>
      <c r="S10" s="439">
        <v>4.1161281617365209E-2</v>
      </c>
      <c r="T10" s="439">
        <v>4.1029771360045306E-2</v>
      </c>
      <c r="U10" s="439">
        <v>4.4252858045237792E-2</v>
      </c>
      <c r="V10" s="439">
        <v>4.3619563018945019E-2</v>
      </c>
      <c r="W10" s="439">
        <v>1.5562366561723451E-3</v>
      </c>
      <c r="X10" s="500">
        <v>2.5907638258776605E-2</v>
      </c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1:60">
      <c r="B11" s="55" t="s">
        <v>11</v>
      </c>
      <c r="C11" s="230">
        <v>1442928</v>
      </c>
      <c r="D11" s="438">
        <v>513222</v>
      </c>
      <c r="E11" s="438">
        <v>599911</v>
      </c>
      <c r="F11" s="438">
        <v>610393</v>
      </c>
      <c r="G11" s="438">
        <v>623177</v>
      </c>
      <c r="H11" s="438">
        <v>646077</v>
      </c>
      <c r="I11" s="438">
        <v>796956</v>
      </c>
      <c r="J11" s="438">
        <v>806825</v>
      </c>
      <c r="K11" s="438">
        <v>618072</v>
      </c>
      <c r="L11" s="508">
        <v>601312</v>
      </c>
      <c r="M11" s="492">
        <v>-0.58326957408824276</v>
      </c>
      <c r="N11" s="50">
        <v>-2.7116581886899915E-2</v>
      </c>
      <c r="O11" s="51">
        <v>0.29912155866070606</v>
      </c>
      <c r="P11" s="439">
        <v>0.11794036958886719</v>
      </c>
      <c r="Q11" s="439">
        <v>0.14415462396493639</v>
      </c>
      <c r="R11" s="439">
        <v>0.14327004483342906</v>
      </c>
      <c r="S11" s="439">
        <v>0.13518616659533264</v>
      </c>
      <c r="T11" s="439">
        <v>0.13879974443266674</v>
      </c>
      <c r="U11" s="488">
        <v>0.1630214930238495</v>
      </c>
      <c r="V11" s="488">
        <v>0.16417107772897474</v>
      </c>
      <c r="W11" s="488">
        <v>0.15062109341587124</v>
      </c>
      <c r="X11" s="501">
        <v>0.1304344902429877</v>
      </c>
    </row>
    <row r="12" spans="1:60" s="231" customFormat="1">
      <c r="A12" s="3"/>
      <c r="B12" s="55" t="s">
        <v>354</v>
      </c>
      <c r="C12" s="230">
        <v>169</v>
      </c>
      <c r="D12" s="438">
        <v>97</v>
      </c>
      <c r="E12" s="438">
        <v>97</v>
      </c>
      <c r="F12" s="438">
        <v>110</v>
      </c>
      <c r="G12" s="438">
        <v>110</v>
      </c>
      <c r="H12" s="438">
        <v>110</v>
      </c>
      <c r="I12" s="438">
        <v>102</v>
      </c>
      <c r="J12" s="438">
        <v>102</v>
      </c>
      <c r="K12" s="438">
        <v>104</v>
      </c>
      <c r="L12" s="508">
        <v>106</v>
      </c>
      <c r="M12" s="492">
        <v>-0.37278106508875741</v>
      </c>
      <c r="N12" s="50">
        <v>1.9230769230769162E-2</v>
      </c>
      <c r="O12" s="51">
        <v>3.503400267626612E-5</v>
      </c>
      <c r="P12" s="439">
        <v>2.2290969307863106E-5</v>
      </c>
      <c r="Q12" s="439">
        <v>2.3308454961817387E-5</v>
      </c>
      <c r="R12" s="439">
        <v>2.5818947680719139E-5</v>
      </c>
      <c r="S12" s="439">
        <v>2.3862367073057239E-5</v>
      </c>
      <c r="T12" s="439">
        <v>2.3631814609703394E-5</v>
      </c>
      <c r="U12" s="488">
        <v>2.0864630278751461E-5</v>
      </c>
      <c r="V12" s="488">
        <v>2.0754748462622529E-5</v>
      </c>
      <c r="W12" s="488">
        <v>2.534428628905792E-5</v>
      </c>
      <c r="X12" s="501">
        <v>2.2993148258735389E-5</v>
      </c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60">
      <c r="B13" s="55" t="s">
        <v>4</v>
      </c>
      <c r="C13" s="230">
        <v>390686</v>
      </c>
      <c r="D13" s="438">
        <v>16741</v>
      </c>
      <c r="E13" s="438">
        <v>16483</v>
      </c>
      <c r="F13" s="438">
        <v>16937</v>
      </c>
      <c r="G13" s="438">
        <v>16467</v>
      </c>
      <c r="H13" s="438">
        <v>18332</v>
      </c>
      <c r="I13" s="438">
        <v>19662</v>
      </c>
      <c r="J13" s="438">
        <v>19731</v>
      </c>
      <c r="K13" s="438">
        <v>22804</v>
      </c>
      <c r="L13" s="508">
        <v>25214</v>
      </c>
      <c r="M13" s="492">
        <v>-0.93546223821688002</v>
      </c>
      <c r="N13" s="50">
        <v>0.10568321347132081</v>
      </c>
      <c r="O13" s="52">
        <v>8.0989907512305948E-2</v>
      </c>
      <c r="P13" s="488">
        <v>3.8471455379684148E-3</v>
      </c>
      <c r="Q13" s="488">
        <v>3.9607552900581032E-3</v>
      </c>
      <c r="R13" s="488">
        <v>3.9754137897121825E-3</v>
      </c>
      <c r="S13" s="439">
        <v>3.5721963508366689E-3</v>
      </c>
      <c r="T13" s="439">
        <v>3.9383493220462055E-3</v>
      </c>
      <c r="U13" s="488">
        <v>3.5271452931030533E-3</v>
      </c>
      <c r="V13" s="488">
        <v>4.0148229599608343E-3</v>
      </c>
      <c r="W13" s="488">
        <v>5.5572221589968926E-3</v>
      </c>
      <c r="X13" s="501">
        <v>5.4693324546769258E-3</v>
      </c>
    </row>
    <row r="14" spans="1:60" ht="15.75" thickBot="1">
      <c r="B14" s="55" t="s">
        <v>125</v>
      </c>
      <c r="C14" s="230">
        <v>9064</v>
      </c>
      <c r="D14" s="438">
        <v>-3978</v>
      </c>
      <c r="E14" s="438">
        <v>-5028</v>
      </c>
      <c r="F14" s="438">
        <v>-5139</v>
      </c>
      <c r="G14" s="438">
        <v>-5024</v>
      </c>
      <c r="H14" s="438">
        <v>-5031</v>
      </c>
      <c r="I14" s="438">
        <v>-4448</v>
      </c>
      <c r="J14" s="438">
        <v>-4444</v>
      </c>
      <c r="K14" s="438">
        <v>-5049</v>
      </c>
      <c r="L14" s="508">
        <v>-4432</v>
      </c>
      <c r="M14" s="492">
        <v>-1.4889673433362753</v>
      </c>
      <c r="N14" s="50">
        <v>-0.12220241632006335</v>
      </c>
      <c r="O14" s="52">
        <v>1.8789834334773734E-3</v>
      </c>
      <c r="P14" s="488">
        <v>-9.1415954542968482E-4</v>
      </c>
      <c r="Q14" s="488">
        <v>-1.2081949644125549E-3</v>
      </c>
      <c r="R14" s="488">
        <v>-1.2062142921019604E-3</v>
      </c>
      <c r="S14" s="439">
        <v>-1.0898593834094508E-3</v>
      </c>
      <c r="T14" s="439">
        <v>-1.0808332663765252E-3</v>
      </c>
      <c r="U14" s="488">
        <v>-9.0986152431261273E-4</v>
      </c>
      <c r="V14" s="488">
        <v>-9.0425590360680903E-4</v>
      </c>
      <c r="W14" s="488">
        <v>-1.2304163603216677E-3</v>
      </c>
      <c r="X14" s="501">
        <v>-9.6137389700674759E-4</v>
      </c>
    </row>
    <row r="15" spans="1:60" ht="15.75" thickBot="1">
      <c r="B15" s="49" t="s">
        <v>98</v>
      </c>
      <c r="C15" s="446">
        <v>4823885</v>
      </c>
      <c r="D15" s="446">
        <v>4351538</v>
      </c>
      <c r="E15" s="446">
        <v>4161580</v>
      </c>
      <c r="F15" s="446">
        <v>4260437</v>
      </c>
      <c r="G15" s="446">
        <v>4609769</v>
      </c>
      <c r="H15" s="446">
        <v>4654742</v>
      </c>
      <c r="I15" s="446">
        <v>4891290</v>
      </c>
      <c r="J15" s="446">
        <v>4914538</v>
      </c>
      <c r="K15" s="446">
        <v>4103489</v>
      </c>
      <c r="L15" s="506">
        <v>4610069</v>
      </c>
      <c r="M15" s="494">
        <v>-4.432443974099709E-2</v>
      </c>
      <c r="N15" s="85">
        <v>0.12345104373375926</v>
      </c>
      <c r="O15" s="447">
        <v>1</v>
      </c>
      <c r="P15" s="447">
        <v>0.99999999999999989</v>
      </c>
      <c r="Q15" s="447">
        <v>0.99999999999999989</v>
      </c>
      <c r="R15" s="447">
        <v>0.99999999999999989</v>
      </c>
      <c r="S15" s="447">
        <v>1</v>
      </c>
      <c r="T15" s="447">
        <v>1.0000000000000002</v>
      </c>
      <c r="U15" s="447">
        <v>1.0000000000000002</v>
      </c>
      <c r="V15" s="447">
        <v>1.0000000000000002</v>
      </c>
      <c r="W15" s="529">
        <v>1</v>
      </c>
      <c r="X15" s="502">
        <v>0.99999999999999989</v>
      </c>
    </row>
    <row r="16" spans="1:60" s="3" customFormat="1" ht="15.75" customHeight="1">
      <c r="D16" s="486"/>
      <c r="E16" s="486"/>
      <c r="F16" s="486"/>
      <c r="H16" s="486"/>
      <c r="I16" s="486"/>
      <c r="J16" s="486"/>
      <c r="K16" s="486"/>
      <c r="L16" s="485"/>
      <c r="P16" s="486"/>
      <c r="Q16" s="486"/>
      <c r="R16" s="486"/>
      <c r="T16" s="486"/>
      <c r="U16" s="486"/>
      <c r="V16" s="486"/>
      <c r="W16" s="486"/>
    </row>
    <row r="17" spans="1:60" s="3" customFormat="1" ht="15.75" thickBot="1">
      <c r="D17" s="486"/>
      <c r="E17" s="486"/>
      <c r="F17" s="486"/>
      <c r="H17" s="486"/>
      <c r="I17" s="486"/>
      <c r="J17" s="486"/>
      <c r="K17" s="486"/>
      <c r="L17" s="505"/>
      <c r="P17" s="486"/>
      <c r="Q17" s="486"/>
      <c r="R17" s="486"/>
      <c r="T17" s="486"/>
      <c r="U17" s="486"/>
      <c r="V17" s="486"/>
      <c r="W17" s="486"/>
    </row>
    <row r="18" spans="1:60" ht="15.75" thickBot="1">
      <c r="B18" s="593" t="s">
        <v>100</v>
      </c>
      <c r="C18" s="595" t="s">
        <v>101</v>
      </c>
      <c r="D18" s="582"/>
      <c r="E18" s="582"/>
      <c r="F18" s="582"/>
      <c r="G18" s="582"/>
      <c r="H18" s="582"/>
      <c r="I18" s="582"/>
      <c r="J18" s="582"/>
      <c r="K18" s="582"/>
      <c r="L18" s="596"/>
      <c r="M18" s="593" t="s">
        <v>340</v>
      </c>
      <c r="N18" s="593" t="s">
        <v>314</v>
      </c>
      <c r="O18" s="595" t="s">
        <v>102</v>
      </c>
      <c r="P18" s="582"/>
      <c r="Q18" s="582"/>
      <c r="R18" s="582"/>
      <c r="S18" s="582"/>
      <c r="T18" s="582"/>
      <c r="U18" s="582"/>
      <c r="V18" s="582"/>
      <c r="W18" s="582"/>
      <c r="X18" s="583"/>
    </row>
    <row r="19" spans="1:60">
      <c r="B19" s="594"/>
      <c r="C19" s="48">
        <v>1990</v>
      </c>
      <c r="D19" s="48">
        <v>2013</v>
      </c>
      <c r="E19" s="48">
        <v>2014</v>
      </c>
      <c r="F19" s="48">
        <v>2015</v>
      </c>
      <c r="G19" s="48">
        <v>2016</v>
      </c>
      <c r="H19" s="48">
        <v>2017</v>
      </c>
      <c r="I19" s="48">
        <v>2018</v>
      </c>
      <c r="J19" s="48">
        <v>2019</v>
      </c>
      <c r="K19" s="48">
        <v>2020</v>
      </c>
      <c r="L19" s="48">
        <v>2021</v>
      </c>
      <c r="M19" s="594"/>
      <c r="N19" s="594"/>
      <c r="O19" s="48">
        <v>1990</v>
      </c>
      <c r="P19" s="48">
        <v>2013</v>
      </c>
      <c r="Q19" s="48">
        <v>2014</v>
      </c>
      <c r="R19" s="48">
        <v>2015</v>
      </c>
      <c r="S19" s="48">
        <v>2016</v>
      </c>
      <c r="T19" s="48">
        <v>2017</v>
      </c>
      <c r="U19" s="48">
        <v>2018</v>
      </c>
      <c r="V19" s="48">
        <v>2019</v>
      </c>
      <c r="W19" s="48">
        <v>2020</v>
      </c>
      <c r="X19" s="48">
        <v>2021</v>
      </c>
    </row>
    <row r="20" spans="1:60">
      <c r="B20" s="54" t="s">
        <v>80</v>
      </c>
      <c r="C20" s="489">
        <v>183951</v>
      </c>
      <c r="D20" s="489">
        <v>394350</v>
      </c>
      <c r="E20" s="489">
        <v>348252</v>
      </c>
      <c r="F20" s="489">
        <v>346184</v>
      </c>
      <c r="G20" s="489">
        <v>376401</v>
      </c>
      <c r="H20" s="489">
        <v>376381</v>
      </c>
      <c r="I20" s="489">
        <v>400169</v>
      </c>
      <c r="J20" s="489">
        <v>408138</v>
      </c>
      <c r="K20" s="489">
        <v>393483</v>
      </c>
      <c r="L20" s="495">
        <v>381248</v>
      </c>
      <c r="M20" s="491">
        <v>1.0725519295899453</v>
      </c>
      <c r="N20" s="50">
        <v>-4.7282523133975851E-2</v>
      </c>
      <c r="O20" s="51">
        <v>4.1549908181865408E-2</v>
      </c>
      <c r="P20" s="51">
        <v>9.083132253722391E-2</v>
      </c>
      <c r="Q20" s="51">
        <v>8.384093017276309E-2</v>
      </c>
      <c r="R20" s="51">
        <v>8.1413260297889409E-2</v>
      </c>
      <c r="S20" s="439">
        <v>8.1793071467266887E-2</v>
      </c>
      <c r="T20" s="439">
        <v>8.102955790590452E-2</v>
      </c>
      <c r="U20" s="439">
        <v>8.2009221731217219E-2</v>
      </c>
      <c r="V20" s="439">
        <v>8.3243336513051019E-2</v>
      </c>
      <c r="W20" s="439">
        <v>9.6221710267459001E-2</v>
      </c>
      <c r="X20" s="500">
        <v>8.3015622261150557E-2</v>
      </c>
    </row>
    <row r="21" spans="1:60">
      <c r="B21" s="54" t="s">
        <v>79</v>
      </c>
      <c r="C21" s="489">
        <v>14616</v>
      </c>
      <c r="D21" s="489">
        <v>0</v>
      </c>
      <c r="E21" s="489">
        <v>0</v>
      </c>
      <c r="F21" s="489">
        <v>0</v>
      </c>
      <c r="G21" s="489">
        <v>0</v>
      </c>
      <c r="H21" s="489">
        <v>0</v>
      </c>
      <c r="I21" s="489">
        <v>0</v>
      </c>
      <c r="J21" s="489">
        <v>0</v>
      </c>
      <c r="K21" s="489">
        <v>0</v>
      </c>
      <c r="L21" s="495">
        <v>0</v>
      </c>
      <c r="M21" s="491">
        <v>-1</v>
      </c>
      <c r="N21" s="50">
        <v>0</v>
      </c>
      <c r="O21" s="51">
        <v>3.3013870975756852E-3</v>
      </c>
      <c r="P21" s="439">
        <v>0</v>
      </c>
      <c r="Q21" s="439">
        <v>0</v>
      </c>
      <c r="R21" s="439">
        <v>0</v>
      </c>
      <c r="S21" s="439">
        <v>0</v>
      </c>
      <c r="T21" s="439">
        <v>0</v>
      </c>
      <c r="U21" s="439">
        <v>0</v>
      </c>
      <c r="V21" s="439">
        <v>0</v>
      </c>
      <c r="W21" s="439">
        <v>0</v>
      </c>
      <c r="X21" s="500">
        <v>0</v>
      </c>
    </row>
    <row r="22" spans="1:60">
      <c r="B22" s="54" t="s">
        <v>360</v>
      </c>
      <c r="C22" s="489">
        <v>58461</v>
      </c>
      <c r="D22" s="489">
        <v>0</v>
      </c>
      <c r="E22" s="489">
        <v>0</v>
      </c>
      <c r="F22" s="489">
        <v>0</v>
      </c>
      <c r="G22" s="489">
        <v>12100</v>
      </c>
      <c r="H22" s="489">
        <v>11124</v>
      </c>
      <c r="I22" s="489">
        <v>11274</v>
      </c>
      <c r="J22" s="489">
        <v>11274</v>
      </c>
      <c r="K22" s="489">
        <v>492</v>
      </c>
      <c r="L22" s="495">
        <v>687</v>
      </c>
      <c r="M22" s="491">
        <v>-0.98824857597372606</v>
      </c>
      <c r="N22" s="50">
        <v>-0.93906333155934008</v>
      </c>
      <c r="O22" s="51">
        <v>1.3204870765693221E-2</v>
      </c>
      <c r="P22" s="439">
        <v>0</v>
      </c>
      <c r="Q22" s="439">
        <v>0</v>
      </c>
      <c r="R22" s="439">
        <v>0</v>
      </c>
      <c r="S22" s="439">
        <v>2.6293664595841387E-3</v>
      </c>
      <c r="T22" s="439">
        <v>2.3948414031135521E-3</v>
      </c>
      <c r="U22" s="439">
        <v>2.3104537477859175E-3</v>
      </c>
      <c r="V22" s="439">
        <v>2.2994315056381349E-3</v>
      </c>
      <c r="W22" s="439">
        <v>1.2031290157793305E-4</v>
      </c>
      <c r="X22" s="500">
        <v>1.495922142369545E-4</v>
      </c>
    </row>
    <row r="23" spans="1:60">
      <c r="B23" s="54" t="s">
        <v>83</v>
      </c>
      <c r="C23" s="489">
        <v>0</v>
      </c>
      <c r="D23" s="489">
        <v>56208</v>
      </c>
      <c r="E23" s="489">
        <v>55972</v>
      </c>
      <c r="F23" s="489">
        <v>59215</v>
      </c>
      <c r="G23" s="489">
        <v>64094</v>
      </c>
      <c r="H23" s="489">
        <v>63567</v>
      </c>
      <c r="I23" s="489">
        <v>73448</v>
      </c>
      <c r="J23" s="489">
        <v>72531</v>
      </c>
      <c r="K23" s="489">
        <v>58207</v>
      </c>
      <c r="L23" s="495">
        <v>59830</v>
      </c>
      <c r="M23" s="491">
        <v>1</v>
      </c>
      <c r="N23" s="50">
        <v>-0.18541008604727149</v>
      </c>
      <c r="O23" s="51">
        <v>0</v>
      </c>
      <c r="P23" s="439">
        <v>1.2946486565670804E-2</v>
      </c>
      <c r="Q23" s="439">
        <v>1.3475140253695299E-2</v>
      </c>
      <c r="R23" s="439">
        <v>1.3925791511275858E-2</v>
      </c>
      <c r="S23" s="439">
        <v>1.3927819327321138E-2</v>
      </c>
      <c r="T23" s="439">
        <v>1.3685084814070403E-2</v>
      </c>
      <c r="U23" s="439">
        <v>1.505217375087636E-2</v>
      </c>
      <c r="V23" s="439">
        <v>1.479333568701788E-2</v>
      </c>
      <c r="W23" s="439">
        <v>1.4233847687290141E-2</v>
      </c>
      <c r="X23" s="500">
        <v>1.3027805207855878E-2</v>
      </c>
    </row>
    <row r="24" spans="1:60">
      <c r="B24" s="54" t="s">
        <v>82</v>
      </c>
      <c r="C24" s="489">
        <v>0</v>
      </c>
      <c r="D24" s="489">
        <v>8817</v>
      </c>
      <c r="E24" s="489">
        <v>9661</v>
      </c>
      <c r="F24" s="489">
        <v>9008</v>
      </c>
      <c r="G24" s="489">
        <v>12367</v>
      </c>
      <c r="H24" s="489">
        <v>9365</v>
      </c>
      <c r="I24" s="489">
        <v>57129</v>
      </c>
      <c r="J24" s="489">
        <v>56946</v>
      </c>
      <c r="K24" s="489">
        <v>57577</v>
      </c>
      <c r="L24" s="495">
        <v>7425</v>
      </c>
      <c r="M24" s="491">
        <v>1</v>
      </c>
      <c r="N24" s="50">
        <v>-0.8700309825132595</v>
      </c>
      <c r="O24" s="51">
        <v>0</v>
      </c>
      <c r="P24" s="439">
        <v>2.0308349709920203E-3</v>
      </c>
      <c r="Q24" s="439">
        <v>2.3258652538939162E-3</v>
      </c>
      <c r="R24" s="439">
        <v>2.1184417788326086E-3</v>
      </c>
      <c r="S24" s="439">
        <v>2.6873863641055408E-3</v>
      </c>
      <c r="T24" s="439">
        <v>2.0161533387413177E-3</v>
      </c>
      <c r="U24" s="439">
        <v>1.170781551865014E-2</v>
      </c>
      <c r="V24" s="439">
        <v>1.1614637796706514E-2</v>
      </c>
      <c r="W24" s="439">
        <v>1.4079788484050103E-2</v>
      </c>
      <c r="X24" s="500">
        <v>1.6167717477574776E-3</v>
      </c>
    </row>
    <row r="25" spans="1:60">
      <c r="B25" s="54" t="s">
        <v>84</v>
      </c>
      <c r="C25" s="489">
        <v>168662</v>
      </c>
      <c r="D25" s="489">
        <v>511866</v>
      </c>
      <c r="E25" s="489">
        <v>531282</v>
      </c>
      <c r="F25" s="489">
        <v>554497</v>
      </c>
      <c r="G25" s="489">
        <v>576536</v>
      </c>
      <c r="H25" s="489">
        <v>601283</v>
      </c>
      <c r="I25" s="489">
        <v>534851</v>
      </c>
      <c r="J25" s="489">
        <v>546021</v>
      </c>
      <c r="K25" s="489">
        <v>445320</v>
      </c>
      <c r="L25" s="495">
        <v>579575</v>
      </c>
      <c r="M25" s="491">
        <v>2.4363104908040936</v>
      </c>
      <c r="N25" s="50">
        <v>8.3619550117696395E-2</v>
      </c>
      <c r="O25" s="51">
        <v>3.8096507296887669E-2</v>
      </c>
      <c r="P25" s="439">
        <v>0.11789898755379398</v>
      </c>
      <c r="Q25" s="439">
        <v>0.12790501436903712</v>
      </c>
      <c r="R25" s="439">
        <v>0.13040293195352409</v>
      </c>
      <c r="S25" s="439">
        <v>0.12528301001180173</v>
      </c>
      <c r="T25" s="439">
        <v>0.1294478086469189</v>
      </c>
      <c r="U25" s="439">
        <v>0.10961047520463418</v>
      </c>
      <c r="V25" s="439">
        <v>0.11136578766542843</v>
      </c>
      <c r="W25" s="439">
        <v>0.10889784823309989</v>
      </c>
      <c r="X25" s="500">
        <v>0.12620073881569563</v>
      </c>
    </row>
    <row r="26" spans="1:60">
      <c r="B26" s="54" t="s">
        <v>85</v>
      </c>
      <c r="C26" s="489">
        <v>292005</v>
      </c>
      <c r="D26" s="489">
        <v>384160</v>
      </c>
      <c r="E26" s="489">
        <v>402530</v>
      </c>
      <c r="F26" s="489">
        <v>410134</v>
      </c>
      <c r="G26" s="489">
        <v>421963</v>
      </c>
      <c r="H26" s="489">
        <v>444167</v>
      </c>
      <c r="I26" s="489">
        <v>539365</v>
      </c>
      <c r="J26" s="489">
        <v>560553</v>
      </c>
      <c r="K26" s="489">
        <v>460204</v>
      </c>
      <c r="L26" s="495">
        <v>608447</v>
      </c>
      <c r="M26" s="491">
        <v>1.083686923169124</v>
      </c>
      <c r="N26" s="50">
        <v>0.12808024250739303</v>
      </c>
      <c r="O26" s="51">
        <v>6.5956591367514222E-2</v>
      </c>
      <c r="P26" s="439">
        <v>8.8484242084189021E-2</v>
      </c>
      <c r="Q26" s="439">
        <v>9.6908243520331033E-2</v>
      </c>
      <c r="R26" s="439">
        <v>9.6452597748638222E-2</v>
      </c>
      <c r="S26" s="439">
        <v>9.1693831354173708E-2</v>
      </c>
      <c r="T26" s="439">
        <v>9.5622934330882522E-2</v>
      </c>
      <c r="U26" s="439">
        <v>0.1105355584242107</v>
      </c>
      <c r="V26" s="439">
        <v>0.11432971693985929</v>
      </c>
      <c r="W26" s="439">
        <v>0.11253755804425021</v>
      </c>
      <c r="X26" s="500">
        <v>0.13248753126030896</v>
      </c>
    </row>
    <row r="27" spans="1:60" s="231" customFormat="1">
      <c r="A27" s="3"/>
      <c r="B27" s="54" t="s">
        <v>355</v>
      </c>
      <c r="C27" s="489">
        <v>0</v>
      </c>
      <c r="D27" s="489">
        <v>114480</v>
      </c>
      <c r="E27" s="489">
        <v>128437</v>
      </c>
      <c r="F27" s="489">
        <v>141806</v>
      </c>
      <c r="G27" s="489">
        <v>189744</v>
      </c>
      <c r="H27" s="489">
        <v>190983</v>
      </c>
      <c r="I27" s="489">
        <v>216337</v>
      </c>
      <c r="J27" s="489">
        <v>214370</v>
      </c>
      <c r="K27" s="489">
        <v>6386</v>
      </c>
      <c r="L27" s="495">
        <v>119436</v>
      </c>
      <c r="M27" s="491">
        <v>1</v>
      </c>
      <c r="N27" s="50">
        <v>-0.44791690741759382</v>
      </c>
      <c r="O27" s="51">
        <v>0</v>
      </c>
      <c r="P27" s="439">
        <v>2.6368377847245831E-2</v>
      </c>
      <c r="Q27" s="439">
        <v>3.0920935266988192E-2</v>
      </c>
      <c r="R27" s="439">
        <v>3.3348995880232782E-2</v>
      </c>
      <c r="S27" s="439">
        <v>4.1231942934490312E-2</v>
      </c>
      <c r="T27" s="439">
        <v>4.1115965092667704E-2</v>
      </c>
      <c r="U27" s="439">
        <v>4.4335340822668268E-2</v>
      </c>
      <c r="V27" s="439">
        <v>4.3722647850243657E-2</v>
      </c>
      <c r="W27" s="439">
        <v>1.5616223363347163E-3</v>
      </c>
      <c r="X27" s="500">
        <v>2.6006835079483114E-2</v>
      </c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</row>
    <row r="28" spans="1:60">
      <c r="B28" s="54" t="s">
        <v>207</v>
      </c>
      <c r="C28" s="489">
        <v>226256</v>
      </c>
      <c r="D28" s="489">
        <v>33579</v>
      </c>
      <c r="E28" s="489">
        <v>33261</v>
      </c>
      <c r="F28" s="489">
        <v>32153</v>
      </c>
      <c r="G28" s="489">
        <v>41933</v>
      </c>
      <c r="H28" s="489">
        <v>48895</v>
      </c>
      <c r="I28" s="489">
        <v>140308</v>
      </c>
      <c r="J28" s="489">
        <v>140308</v>
      </c>
      <c r="K28" s="489">
        <v>35143</v>
      </c>
      <c r="L28" s="495">
        <v>35683</v>
      </c>
      <c r="M28" s="491">
        <v>-0.84228926525705394</v>
      </c>
      <c r="N28" s="50">
        <v>-0.74568093052427509</v>
      </c>
      <c r="O28" s="51">
        <v>5.1105544550429954E-2</v>
      </c>
      <c r="P28" s="439">
        <v>7.7343095713894808E-3</v>
      </c>
      <c r="Q28" s="439">
        <v>8.0075151857743037E-3</v>
      </c>
      <c r="R28" s="439">
        <v>7.5615295864570236E-3</v>
      </c>
      <c r="S28" s="439">
        <v>9.1121672520447679E-3</v>
      </c>
      <c r="T28" s="439">
        <v>1.0526408702376585E-2</v>
      </c>
      <c r="U28" s="439">
        <v>2.875422604615456E-2</v>
      </c>
      <c r="V28" s="439">
        <v>2.8617051241181076E-2</v>
      </c>
      <c r="W28" s="439">
        <v>8.593813618197766E-3</v>
      </c>
      <c r="X28" s="500">
        <v>7.7698675118154986E-3</v>
      </c>
    </row>
    <row r="29" spans="1:60" s="70" customFormat="1">
      <c r="A29" s="3"/>
      <c r="B29" s="54" t="s">
        <v>208</v>
      </c>
      <c r="C29" s="489">
        <v>561871</v>
      </c>
      <c r="D29" s="489">
        <v>270881</v>
      </c>
      <c r="E29" s="489">
        <v>224563</v>
      </c>
      <c r="F29" s="489">
        <v>219519</v>
      </c>
      <c r="G29" s="489">
        <v>237923</v>
      </c>
      <c r="H29" s="489">
        <v>197087</v>
      </c>
      <c r="I29" s="489">
        <v>176105</v>
      </c>
      <c r="J29" s="489">
        <v>132022</v>
      </c>
      <c r="K29" s="489">
        <v>111940</v>
      </c>
      <c r="L29" s="495">
        <v>132536</v>
      </c>
      <c r="M29" s="491">
        <v>-0.76411667446798281</v>
      </c>
      <c r="N29" s="50">
        <v>-0.24740353766219014</v>
      </c>
      <c r="O29" s="51">
        <v>0.12691253899164939</v>
      </c>
      <c r="P29" s="439">
        <v>6.2392492659327378E-2</v>
      </c>
      <c r="Q29" s="439">
        <v>5.4063065832748114E-2</v>
      </c>
      <c r="R29" s="439">
        <v>5.162502451682454E-2</v>
      </c>
      <c r="S29" s="439">
        <v>5.1701384806912151E-2</v>
      </c>
      <c r="T29" s="439">
        <v>4.2430070803257877E-2</v>
      </c>
      <c r="U29" s="439">
        <v>3.6090336815135626E-2</v>
      </c>
      <c r="V29" s="439">
        <v>2.6927048628468855E-2</v>
      </c>
      <c r="W29" s="439">
        <v>2.737363049315818E-2</v>
      </c>
      <c r="X29" s="500">
        <v>2.8859321260711793E-2</v>
      </c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</row>
    <row r="30" spans="1:60" s="231" customFormat="1">
      <c r="A30" s="3"/>
      <c r="B30" s="54" t="s">
        <v>209</v>
      </c>
      <c r="C30" s="489">
        <v>22009</v>
      </c>
      <c r="D30" s="489">
        <v>15815</v>
      </c>
      <c r="E30" s="489">
        <v>11178</v>
      </c>
      <c r="F30" s="489">
        <v>15331</v>
      </c>
      <c r="G30" s="489">
        <v>18958</v>
      </c>
      <c r="H30" s="489">
        <v>13209</v>
      </c>
      <c r="I30" s="489">
        <v>9618</v>
      </c>
      <c r="J30" s="489">
        <v>7213</v>
      </c>
      <c r="K30" s="489">
        <v>6108</v>
      </c>
      <c r="L30" s="495">
        <v>7232</v>
      </c>
      <c r="M30" s="491">
        <v>-0.67140715161979192</v>
      </c>
      <c r="N30" s="50">
        <v>-0.24807652318569351</v>
      </c>
      <c r="O30" s="51">
        <v>4.9712800102998944E-3</v>
      </c>
      <c r="P30" s="439">
        <v>3.6426965029192244E-3</v>
      </c>
      <c r="Q30" s="439">
        <v>2.69107978553216E-3</v>
      </c>
      <c r="R30" s="439">
        <v>3.6054430407729491E-3</v>
      </c>
      <c r="S30" s="439">
        <v>4.1196305240327356E-3</v>
      </c>
      <c r="T30" s="439">
        <v>2.8437127017014482E-3</v>
      </c>
      <c r="U30" s="439">
        <v>1.9710789556683481E-3</v>
      </c>
      <c r="V30" s="439">
        <v>1.4711548208415706E-3</v>
      </c>
      <c r="W30" s="439">
        <v>1.4936406561748274E-3</v>
      </c>
      <c r="X30" s="500">
        <v>1.5747465696676201E-3</v>
      </c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</row>
    <row r="31" spans="1:60">
      <c r="B31" s="54" t="s">
        <v>77</v>
      </c>
      <c r="C31" s="489">
        <v>1579399</v>
      </c>
      <c r="D31" s="489">
        <v>1768917</v>
      </c>
      <c r="E31" s="489">
        <v>1756244</v>
      </c>
      <c r="F31" s="489">
        <v>1783381</v>
      </c>
      <c r="G31" s="489">
        <v>1822410</v>
      </c>
      <c r="H31" s="489">
        <v>1877084</v>
      </c>
      <c r="I31" s="489">
        <v>1933322</v>
      </c>
      <c r="J31" s="489">
        <v>1975790</v>
      </c>
      <c r="K31" s="489">
        <v>1700798</v>
      </c>
      <c r="L31" s="495">
        <v>1774250</v>
      </c>
      <c r="M31" s="491">
        <v>0.12337034530223212</v>
      </c>
      <c r="N31" s="50">
        <v>-8.227910301543151E-2</v>
      </c>
      <c r="O31" s="51">
        <v>0.35674654354980428</v>
      </c>
      <c r="P31" s="439">
        <v>0.40743773442013065</v>
      </c>
      <c r="Q31" s="439">
        <v>0.42281201707480254</v>
      </c>
      <c r="R31" s="439">
        <v>0.41940373201335218</v>
      </c>
      <c r="S31" s="439">
        <v>0.3960151842653496</v>
      </c>
      <c r="T31" s="439">
        <v>0.40410989574991002</v>
      </c>
      <c r="U31" s="439">
        <v>0.39616412214131558</v>
      </c>
      <c r="V31" s="439">
        <v>0.40297975647727258</v>
      </c>
      <c r="W31" s="439">
        <v>0.41591045198769383</v>
      </c>
      <c r="X31" s="500">
        <v>0.38633767992709828</v>
      </c>
    </row>
    <row r="32" spans="1:60" ht="15.75" thickBot="1">
      <c r="B32" s="54" t="s">
        <v>81</v>
      </c>
      <c r="C32" s="490">
        <v>1320000</v>
      </c>
      <c r="D32" s="490">
        <v>782491</v>
      </c>
      <c r="E32" s="490">
        <v>652343</v>
      </c>
      <c r="F32" s="490">
        <v>680954</v>
      </c>
      <c r="G32" s="490">
        <v>827440</v>
      </c>
      <c r="H32" s="490">
        <v>811839</v>
      </c>
      <c r="I32" s="490">
        <v>787850</v>
      </c>
      <c r="J32" s="490">
        <v>777785</v>
      </c>
      <c r="K32" s="490">
        <v>813679</v>
      </c>
      <c r="L32" s="495">
        <v>886136</v>
      </c>
      <c r="M32" s="491">
        <v>-0.32868484848484847</v>
      </c>
      <c r="N32" s="50">
        <v>0.12475217363711377</v>
      </c>
      <c r="O32" s="51">
        <v>0.29815482818828026</v>
      </c>
      <c r="P32" s="439">
        <v>0.18023251528711773</v>
      </c>
      <c r="Q32" s="439">
        <v>0.15705019328443423</v>
      </c>
      <c r="R32" s="439">
        <v>0.16014225167220031</v>
      </c>
      <c r="S32" s="439">
        <v>0.17980520523291732</v>
      </c>
      <c r="T32" s="439">
        <v>0.17477756651045515</v>
      </c>
      <c r="U32" s="439">
        <v>0.16145919684168308</v>
      </c>
      <c r="V32" s="439">
        <v>0.15863609487429101</v>
      </c>
      <c r="W32" s="439">
        <v>0.19897577529071339</v>
      </c>
      <c r="X32" s="500">
        <v>0.19295348814421823</v>
      </c>
    </row>
    <row r="33" spans="2:24" ht="15.75" thickBot="1">
      <c r="B33" s="49" t="s">
        <v>98</v>
      </c>
      <c r="C33" s="448">
        <v>4427230</v>
      </c>
      <c r="D33" s="448">
        <v>4341564</v>
      </c>
      <c r="E33" s="448">
        <v>4153723</v>
      </c>
      <c r="F33" s="448">
        <v>4252182</v>
      </c>
      <c r="G33" s="448">
        <v>4601869</v>
      </c>
      <c r="H33" s="448">
        <v>4644984</v>
      </c>
      <c r="I33" s="448">
        <v>4879776</v>
      </c>
      <c r="J33" s="448">
        <v>4902951</v>
      </c>
      <c r="K33" s="448">
        <v>4089337</v>
      </c>
      <c r="L33" s="493">
        <v>4592485</v>
      </c>
      <c r="M33" s="496">
        <v>3.7326951615344051E-2</v>
      </c>
      <c r="N33" s="443">
        <v>-5.8873808961722784E-2</v>
      </c>
      <c r="O33" s="449">
        <v>1</v>
      </c>
      <c r="P33" s="449">
        <v>1</v>
      </c>
      <c r="Q33" s="449">
        <v>1</v>
      </c>
      <c r="R33" s="449">
        <v>0.99999999999999989</v>
      </c>
      <c r="S33" s="449">
        <v>1</v>
      </c>
      <c r="T33" s="449">
        <v>1</v>
      </c>
      <c r="U33" s="449">
        <v>1</v>
      </c>
      <c r="V33" s="449">
        <v>1</v>
      </c>
      <c r="W33" s="530">
        <v>1</v>
      </c>
      <c r="X33" s="503">
        <v>0.99999999999999989</v>
      </c>
    </row>
    <row r="34" spans="2:24" ht="15.75" thickBot="1">
      <c r="B34" s="593" t="s">
        <v>124</v>
      </c>
      <c r="C34" s="595" t="s">
        <v>101</v>
      </c>
      <c r="D34" s="582"/>
      <c r="E34" s="582"/>
      <c r="F34" s="582"/>
      <c r="G34" s="582"/>
      <c r="H34" s="582"/>
      <c r="I34" s="582"/>
      <c r="J34" s="582"/>
      <c r="K34" s="582"/>
      <c r="L34" s="596"/>
      <c r="M34" s="593" t="s">
        <v>340</v>
      </c>
      <c r="N34" s="593" t="s">
        <v>314</v>
      </c>
      <c r="O34" s="82"/>
      <c r="P34" s="480"/>
      <c r="Q34" s="480"/>
      <c r="R34" s="480"/>
      <c r="S34" s="433"/>
      <c r="T34" s="521"/>
      <c r="U34" s="526"/>
      <c r="V34" s="527"/>
      <c r="W34" s="528"/>
      <c r="X34" s="83"/>
    </row>
    <row r="35" spans="2:24" ht="15.75" thickBot="1">
      <c r="B35" s="594"/>
      <c r="C35" s="48">
        <v>1990</v>
      </c>
      <c r="D35" s="48">
        <v>2013</v>
      </c>
      <c r="E35" s="48">
        <v>2014</v>
      </c>
      <c r="F35" s="48">
        <v>2015</v>
      </c>
      <c r="G35" s="48">
        <v>2016</v>
      </c>
      <c r="H35" s="48">
        <v>2017</v>
      </c>
      <c r="I35" s="48">
        <v>2018</v>
      </c>
      <c r="J35" s="48">
        <v>2019</v>
      </c>
      <c r="K35" s="48"/>
      <c r="L35" s="48">
        <v>2020</v>
      </c>
      <c r="M35" s="594"/>
      <c r="N35" s="594"/>
      <c r="O35" s="48"/>
      <c r="P35" s="48"/>
      <c r="Q35" s="48"/>
      <c r="R35" s="48"/>
      <c r="S35" s="48"/>
      <c r="T35" s="48"/>
      <c r="U35" s="48"/>
      <c r="V35" s="48"/>
      <c r="W35" s="48"/>
      <c r="X35" s="53"/>
    </row>
    <row r="36" spans="2:24" ht="15.75" thickBot="1">
      <c r="B36" s="49" t="s">
        <v>127</v>
      </c>
      <c r="C36" s="445">
        <v>396655</v>
      </c>
      <c r="D36" s="445">
        <v>9974</v>
      </c>
      <c r="E36" s="445">
        <v>7857</v>
      </c>
      <c r="F36" s="445">
        <v>8255</v>
      </c>
      <c r="G36" s="445">
        <v>7900</v>
      </c>
      <c r="H36" s="445">
        <v>9758</v>
      </c>
      <c r="I36" s="445">
        <v>11514</v>
      </c>
      <c r="J36" s="445">
        <v>11587</v>
      </c>
      <c r="K36" s="445">
        <v>14152</v>
      </c>
      <c r="L36" s="497">
        <v>17584</v>
      </c>
      <c r="M36" s="496">
        <v>-0.95566928439071741</v>
      </c>
      <c r="N36" s="444">
        <v>1.2258227848101266</v>
      </c>
      <c r="O36" s="442"/>
      <c r="P36" s="442"/>
      <c r="Q36" s="442"/>
      <c r="R36" s="442"/>
      <c r="S36" s="440"/>
      <c r="T36" s="440"/>
      <c r="U36" s="440"/>
      <c r="V36" s="440"/>
      <c r="W36" s="440"/>
      <c r="X36" s="441"/>
    </row>
    <row r="37" spans="2:24" s="3" customFormat="1" ht="15.75" thickBot="1">
      <c r="D37" s="486"/>
      <c r="E37" s="486"/>
      <c r="F37" s="486"/>
      <c r="H37" s="486"/>
      <c r="I37" s="486"/>
      <c r="J37" s="486"/>
      <c r="K37" s="486"/>
      <c r="P37" s="486"/>
      <c r="Q37" s="486"/>
      <c r="R37" s="486"/>
      <c r="T37" s="486"/>
      <c r="U37" s="486"/>
      <c r="V37" s="486"/>
      <c r="W37" s="486"/>
    </row>
    <row r="38" spans="2:24" s="3" customFormat="1">
      <c r="B38" s="84" t="s">
        <v>128</v>
      </c>
      <c r="C38" s="455">
        <v>4823885</v>
      </c>
      <c r="D38" s="455">
        <v>4351538</v>
      </c>
      <c r="E38" s="455">
        <v>4161580</v>
      </c>
      <c r="F38" s="455">
        <v>4260437</v>
      </c>
      <c r="G38" s="455">
        <v>4609769</v>
      </c>
      <c r="H38" s="455">
        <v>4654742</v>
      </c>
      <c r="I38" s="455">
        <v>4891290</v>
      </c>
      <c r="J38" s="455">
        <v>4914538</v>
      </c>
      <c r="K38" s="455">
        <v>4103489</v>
      </c>
      <c r="L38" s="498">
        <v>4610069</v>
      </c>
      <c r="M38" s="110"/>
      <c r="N38" s="110"/>
      <c r="O38" s="110"/>
      <c r="P38" s="483"/>
      <c r="Q38" s="483"/>
      <c r="R38" s="483"/>
      <c r="S38" s="110"/>
      <c r="T38" s="483"/>
      <c r="U38" s="483"/>
      <c r="V38" s="483"/>
      <c r="W38" s="483"/>
      <c r="X38" s="419"/>
    </row>
    <row r="39" spans="2:24" s="3" customFormat="1" ht="15.75" thickBot="1">
      <c r="B39" s="113" t="s">
        <v>129</v>
      </c>
      <c r="C39" s="456">
        <v>7.5021539657853813</v>
      </c>
      <c r="D39" s="456">
        <v>6.8962567353407289</v>
      </c>
      <c r="E39" s="456">
        <v>6.5952139461172745</v>
      </c>
      <c r="F39" s="456">
        <v>6.7013396585813174</v>
      </c>
      <c r="G39" s="456">
        <v>7.3054976228209192</v>
      </c>
      <c r="H39" s="456">
        <v>7.289138816071759</v>
      </c>
      <c r="I39" s="456">
        <v>7.6311344139059205</v>
      </c>
      <c r="J39" s="456">
        <v>7.6446958867203119</v>
      </c>
      <c r="K39" s="456">
        <v>6.3996921402181215</v>
      </c>
      <c r="L39" s="499">
        <v>7.1897408145027848</v>
      </c>
      <c r="M39" s="420"/>
      <c r="N39" s="420"/>
      <c r="O39" s="420"/>
      <c r="P39" s="420"/>
      <c r="Q39" s="420"/>
      <c r="R39" s="420"/>
      <c r="S39" s="420"/>
      <c r="T39" s="420"/>
      <c r="U39" s="420"/>
      <c r="V39" s="420"/>
      <c r="W39" s="420"/>
      <c r="X39" s="421"/>
    </row>
    <row r="40" spans="2:24" s="3" customFormat="1">
      <c r="B40" s="482" t="s">
        <v>361</v>
      </c>
      <c r="C40" s="486"/>
      <c r="D40" s="504">
        <v>-472347</v>
      </c>
      <c r="E40" s="504">
        <v>-662305</v>
      </c>
      <c r="F40" s="504">
        <v>-563448</v>
      </c>
      <c r="G40" s="504">
        <v>-214116</v>
      </c>
      <c r="H40" s="504">
        <v>-169143</v>
      </c>
      <c r="I40" s="504">
        <v>67405</v>
      </c>
      <c r="J40" s="504">
        <v>90653</v>
      </c>
      <c r="K40" s="504">
        <v>-720396</v>
      </c>
      <c r="L40" s="504">
        <v>-213816</v>
      </c>
      <c r="P40" s="486"/>
      <c r="Q40" s="486"/>
      <c r="R40" s="486"/>
      <c r="T40" s="486"/>
      <c r="U40" s="486"/>
      <c r="V40" s="486"/>
      <c r="W40" s="486"/>
    </row>
    <row r="41" spans="2:24" s="3" customFormat="1" ht="15.75" hidden="1" thickBot="1">
      <c r="B41" s="114" t="s">
        <v>130</v>
      </c>
      <c r="C41" s="457">
        <v>1475024</v>
      </c>
      <c r="D41" s="457"/>
      <c r="E41" s="457"/>
      <c r="F41" s="457"/>
      <c r="G41" s="457"/>
      <c r="H41" s="457"/>
      <c r="I41" s="457"/>
      <c r="J41" s="457"/>
      <c r="K41" s="457"/>
      <c r="L41" s="457">
        <v>0</v>
      </c>
      <c r="M41" s="458">
        <v>-1</v>
      </c>
      <c r="N41" s="459"/>
      <c r="O41" s="111"/>
      <c r="P41" s="111"/>
      <c r="Q41" s="111"/>
      <c r="R41" s="111"/>
      <c r="S41" s="111"/>
      <c r="T41" s="111"/>
      <c r="U41" s="111"/>
      <c r="V41" s="111"/>
      <c r="W41" s="111"/>
      <c r="X41" s="216"/>
    </row>
    <row r="42" spans="2:24" s="3" customFormat="1">
      <c r="D42" s="486"/>
      <c r="E42" s="486"/>
      <c r="F42" s="486"/>
      <c r="H42" s="486"/>
      <c r="I42" s="486"/>
      <c r="J42" s="486"/>
      <c r="K42" s="486"/>
      <c r="P42" s="486"/>
      <c r="Q42" s="486"/>
      <c r="R42" s="486"/>
      <c r="T42" s="486"/>
      <c r="U42" s="486"/>
      <c r="V42" s="486"/>
      <c r="W42" s="486"/>
    </row>
    <row r="43" spans="2:24" s="3" customFormat="1">
      <c r="C43" s="432"/>
      <c r="D43" s="484"/>
      <c r="E43" s="484"/>
      <c r="F43" s="484"/>
      <c r="G43" s="432"/>
      <c r="H43" s="484"/>
      <c r="I43" s="484"/>
      <c r="J43" s="484"/>
      <c r="K43" s="484"/>
      <c r="P43" s="486"/>
      <c r="Q43" s="486"/>
      <c r="R43" s="486"/>
      <c r="T43" s="486"/>
      <c r="U43" s="486"/>
      <c r="V43" s="486"/>
      <c r="W43" s="486"/>
    </row>
    <row r="44" spans="2:24" s="3" customFormat="1">
      <c r="D44" s="486"/>
      <c r="E44" s="486"/>
      <c r="F44" s="486"/>
      <c r="H44" s="486"/>
      <c r="I44" s="486"/>
      <c r="J44" s="486"/>
      <c r="K44" s="486"/>
      <c r="P44" s="486"/>
      <c r="Q44" s="486"/>
      <c r="R44" s="486"/>
      <c r="T44" s="486"/>
      <c r="U44" s="486"/>
      <c r="V44" s="486"/>
      <c r="W44" s="486"/>
    </row>
    <row r="45" spans="2:24" s="3" customFormat="1">
      <c r="B45" s="6"/>
      <c r="D45" s="486"/>
      <c r="E45" s="486"/>
      <c r="F45" s="486"/>
      <c r="H45" s="486"/>
      <c r="I45" s="486"/>
      <c r="J45" s="486"/>
      <c r="K45" s="486"/>
      <c r="P45" s="486"/>
      <c r="Q45" s="486"/>
      <c r="R45" s="486"/>
      <c r="T45" s="486"/>
      <c r="U45" s="486"/>
      <c r="V45" s="486"/>
      <c r="W45" s="486"/>
    </row>
    <row r="46" spans="2:24" s="3" customFormat="1">
      <c r="C46" s="460"/>
      <c r="D46" s="460"/>
      <c r="E46" s="460"/>
      <c r="F46" s="460"/>
      <c r="G46" s="460"/>
      <c r="H46" s="460"/>
      <c r="I46" s="460"/>
      <c r="J46" s="460"/>
      <c r="K46" s="460"/>
      <c r="L46" s="460"/>
      <c r="P46" s="486"/>
      <c r="Q46" s="486"/>
      <c r="R46" s="486"/>
      <c r="T46" s="486"/>
      <c r="U46" s="486"/>
      <c r="V46" s="486"/>
      <c r="W46" s="486"/>
    </row>
    <row r="47" spans="2:24" s="3" customFormat="1">
      <c r="C47" s="461"/>
      <c r="D47" s="461"/>
      <c r="E47" s="461"/>
      <c r="F47" s="461"/>
      <c r="G47" s="461"/>
      <c r="H47" s="461"/>
      <c r="I47" s="461"/>
      <c r="J47" s="461"/>
      <c r="K47" s="461"/>
      <c r="L47" s="461"/>
      <c r="P47" s="486"/>
      <c r="Q47" s="486"/>
      <c r="R47" s="486"/>
      <c r="T47" s="486"/>
      <c r="U47" s="486"/>
      <c r="V47" s="486"/>
      <c r="W47" s="486"/>
    </row>
    <row r="48" spans="2:24" s="3" customFormat="1">
      <c r="D48" s="486"/>
      <c r="E48" s="486"/>
      <c r="F48" s="486"/>
      <c r="H48" s="486"/>
      <c r="I48" s="486"/>
      <c r="J48" s="486"/>
      <c r="K48" s="486"/>
      <c r="P48" s="486"/>
      <c r="Q48" s="486"/>
      <c r="R48" s="486"/>
      <c r="T48" s="486"/>
      <c r="U48" s="486"/>
      <c r="V48" s="486"/>
      <c r="W48" s="486"/>
    </row>
    <row r="49" spans="3:26" s="3" customFormat="1">
      <c r="C49" s="462"/>
      <c r="D49" s="462"/>
      <c r="E49" s="462"/>
      <c r="F49" s="462"/>
      <c r="G49" s="462"/>
      <c r="H49" s="462"/>
      <c r="I49" s="462"/>
      <c r="J49" s="462"/>
      <c r="K49" s="462"/>
      <c r="L49" s="436"/>
      <c r="P49" s="486"/>
      <c r="Q49" s="486"/>
      <c r="R49" s="486"/>
      <c r="T49" s="486"/>
      <c r="U49" s="486"/>
      <c r="V49" s="486"/>
      <c r="W49" s="486"/>
      <c r="Z49" s="210"/>
    </row>
    <row r="50" spans="3:26" s="3" customFormat="1">
      <c r="C50" s="463"/>
      <c r="D50" s="463"/>
      <c r="E50" s="463"/>
      <c r="F50" s="463"/>
      <c r="G50" s="463"/>
      <c r="H50" s="463"/>
      <c r="I50" s="463"/>
      <c r="J50" s="463"/>
      <c r="K50" s="463"/>
      <c r="P50" s="486"/>
      <c r="Q50" s="486"/>
      <c r="R50" s="486"/>
      <c r="T50" s="486"/>
      <c r="U50" s="486"/>
      <c r="V50" s="486"/>
      <c r="W50" s="486"/>
      <c r="Z50" s="431"/>
    </row>
    <row r="51" spans="3:26" s="3" customFormat="1">
      <c r="C51" s="432"/>
      <c r="D51" s="484"/>
      <c r="E51" s="484"/>
      <c r="F51" s="484"/>
      <c r="G51" s="432"/>
      <c r="H51" s="484"/>
      <c r="I51" s="484"/>
      <c r="J51" s="484"/>
      <c r="K51" s="484"/>
      <c r="P51" s="486"/>
      <c r="Q51" s="486"/>
      <c r="R51" s="486"/>
      <c r="T51" s="486"/>
      <c r="U51" s="486"/>
      <c r="V51" s="486"/>
      <c r="W51" s="486"/>
      <c r="Z51" s="212"/>
    </row>
    <row r="52" spans="3:26" s="3" customFormat="1">
      <c r="C52" s="464"/>
      <c r="D52" s="464"/>
      <c r="E52" s="464"/>
      <c r="F52" s="464"/>
      <c r="G52" s="464"/>
      <c r="H52" s="464"/>
      <c r="I52" s="464"/>
      <c r="J52" s="464"/>
      <c r="K52" s="464"/>
      <c r="L52" s="465"/>
      <c r="P52" s="486"/>
      <c r="Q52" s="486"/>
      <c r="R52" s="486"/>
      <c r="T52" s="486"/>
      <c r="U52" s="486"/>
      <c r="V52" s="486"/>
      <c r="W52" s="486"/>
      <c r="Z52" s="431"/>
    </row>
    <row r="53" spans="3:26" s="3" customFormat="1">
      <c r="D53" s="486"/>
      <c r="E53" s="486"/>
      <c r="F53" s="486"/>
      <c r="H53" s="486"/>
      <c r="I53" s="486"/>
      <c r="J53" s="486"/>
      <c r="K53" s="486"/>
      <c r="L53" s="466"/>
      <c r="P53" s="486"/>
      <c r="Q53" s="486"/>
      <c r="R53" s="486"/>
      <c r="T53" s="486"/>
      <c r="U53" s="486"/>
      <c r="V53" s="486"/>
      <c r="W53" s="486"/>
    </row>
    <row r="54" spans="3:26" s="3" customFormat="1">
      <c r="C54" s="432"/>
      <c r="D54" s="484"/>
      <c r="E54" s="484"/>
      <c r="F54" s="484"/>
      <c r="G54" s="432"/>
      <c r="H54" s="484"/>
      <c r="I54" s="484"/>
      <c r="J54" s="484"/>
      <c r="K54" s="484"/>
      <c r="P54" s="486"/>
      <c r="Q54" s="486"/>
      <c r="R54" s="486"/>
      <c r="T54" s="486"/>
      <c r="U54" s="486"/>
      <c r="V54" s="486"/>
      <c r="W54" s="486"/>
      <c r="Z54" s="431"/>
    </row>
    <row r="55" spans="3:26" s="3" customFormat="1">
      <c r="D55" s="486"/>
      <c r="E55" s="486"/>
      <c r="F55" s="486"/>
      <c r="H55" s="486"/>
      <c r="I55" s="486"/>
      <c r="J55" s="486"/>
      <c r="K55" s="486"/>
      <c r="P55" s="486"/>
      <c r="Q55" s="486"/>
      <c r="R55" s="486"/>
      <c r="T55" s="486"/>
      <c r="U55" s="486"/>
      <c r="V55" s="486"/>
      <c r="W55" s="486"/>
    </row>
    <row r="56" spans="3:26" s="3" customFormat="1">
      <c r="C56" s="432"/>
      <c r="D56" s="484"/>
      <c r="E56" s="484"/>
      <c r="F56" s="484"/>
      <c r="G56" s="432"/>
      <c r="H56" s="484"/>
      <c r="I56" s="484"/>
      <c r="J56" s="484"/>
      <c r="K56" s="484"/>
      <c r="P56" s="486"/>
      <c r="Q56" s="486"/>
      <c r="R56" s="486"/>
      <c r="T56" s="486"/>
      <c r="U56" s="486"/>
      <c r="V56" s="486"/>
      <c r="W56" s="486"/>
    </row>
    <row r="57" spans="3:26" s="3" customFormat="1">
      <c r="C57" s="467"/>
      <c r="D57" s="467"/>
      <c r="E57" s="467"/>
      <c r="F57" s="467"/>
      <c r="G57" s="467"/>
      <c r="H57" s="467"/>
      <c r="I57" s="467"/>
      <c r="J57" s="467"/>
      <c r="K57" s="467"/>
      <c r="L57" s="468"/>
      <c r="P57" s="486"/>
      <c r="Q57" s="486"/>
      <c r="R57" s="486"/>
      <c r="T57" s="486"/>
      <c r="U57" s="486"/>
      <c r="V57" s="486"/>
      <c r="W57" s="486"/>
    </row>
    <row r="58" spans="3:26" s="3" customFormat="1">
      <c r="D58" s="486"/>
      <c r="E58" s="486"/>
      <c r="F58" s="486"/>
      <c r="H58" s="486"/>
      <c r="I58" s="486"/>
      <c r="J58" s="486"/>
      <c r="K58" s="486"/>
      <c r="P58" s="486"/>
      <c r="Q58" s="486"/>
      <c r="R58" s="486"/>
      <c r="T58" s="486"/>
      <c r="U58" s="486"/>
      <c r="V58" s="486"/>
      <c r="W58" s="486"/>
    </row>
    <row r="59" spans="3:26" s="3" customFormat="1">
      <c r="D59" s="486"/>
      <c r="E59" s="486"/>
      <c r="F59" s="486"/>
      <c r="H59" s="486"/>
      <c r="I59" s="486"/>
      <c r="J59" s="486"/>
      <c r="K59" s="486"/>
      <c r="P59" s="486"/>
      <c r="Q59" s="486"/>
      <c r="R59" s="486"/>
      <c r="T59" s="486"/>
      <c r="U59" s="486"/>
      <c r="V59" s="486"/>
      <c r="W59" s="486"/>
    </row>
    <row r="60" spans="3:26" s="3" customFormat="1">
      <c r="D60" s="486"/>
      <c r="E60" s="486"/>
      <c r="F60" s="486"/>
      <c r="H60" s="486"/>
      <c r="I60" s="486"/>
      <c r="J60" s="486"/>
      <c r="K60" s="486"/>
      <c r="P60" s="486"/>
      <c r="Q60" s="486"/>
      <c r="R60" s="486"/>
      <c r="T60" s="486"/>
      <c r="U60" s="486"/>
      <c r="V60" s="486"/>
      <c r="W60" s="486"/>
    </row>
    <row r="61" spans="3:26" s="3" customFormat="1">
      <c r="D61" s="486"/>
      <c r="E61" s="486"/>
      <c r="F61" s="486"/>
      <c r="H61" s="486"/>
      <c r="I61" s="486"/>
      <c r="J61" s="486"/>
      <c r="K61" s="486"/>
      <c r="P61" s="486"/>
      <c r="Q61" s="486"/>
      <c r="R61" s="486"/>
      <c r="T61" s="486"/>
      <c r="U61" s="486"/>
      <c r="V61" s="486"/>
      <c r="W61" s="486"/>
    </row>
    <row r="62" spans="3:26" s="3" customFormat="1">
      <c r="D62" s="486"/>
      <c r="E62" s="486"/>
      <c r="F62" s="486"/>
      <c r="H62" s="486"/>
      <c r="I62" s="486"/>
      <c r="J62" s="486"/>
      <c r="K62" s="486"/>
      <c r="P62" s="486"/>
      <c r="Q62" s="486"/>
      <c r="R62" s="486"/>
      <c r="T62" s="486"/>
      <c r="U62" s="486"/>
      <c r="V62" s="486"/>
      <c r="W62" s="486"/>
    </row>
    <row r="63" spans="3:26" s="3" customFormat="1">
      <c r="D63" s="486"/>
      <c r="E63" s="486"/>
      <c r="F63" s="486"/>
      <c r="H63" s="486"/>
      <c r="I63" s="486"/>
      <c r="J63" s="486"/>
      <c r="K63" s="486"/>
      <c r="P63" s="486"/>
      <c r="Q63" s="486"/>
      <c r="R63" s="486"/>
      <c r="T63" s="486"/>
      <c r="U63" s="486"/>
      <c r="V63" s="486"/>
      <c r="W63" s="486"/>
    </row>
    <row r="64" spans="3:26" s="3" customFormat="1">
      <c r="D64" s="486"/>
      <c r="E64" s="486"/>
      <c r="F64" s="486"/>
      <c r="H64" s="486"/>
      <c r="I64" s="486"/>
      <c r="J64" s="486"/>
      <c r="K64" s="486"/>
      <c r="P64" s="486"/>
      <c r="Q64" s="486"/>
      <c r="R64" s="486"/>
      <c r="T64" s="486"/>
      <c r="U64" s="486"/>
      <c r="V64" s="486"/>
      <c r="W64" s="486"/>
    </row>
    <row r="65" spans="4:23" s="3" customFormat="1">
      <c r="D65" s="486"/>
      <c r="E65" s="486"/>
      <c r="F65" s="486"/>
      <c r="H65" s="486"/>
      <c r="I65" s="486"/>
      <c r="J65" s="486"/>
      <c r="K65" s="486"/>
      <c r="P65" s="486"/>
      <c r="Q65" s="486"/>
      <c r="R65" s="486"/>
      <c r="T65" s="486"/>
      <c r="U65" s="486"/>
      <c r="V65" s="486"/>
      <c r="W65" s="486"/>
    </row>
    <row r="66" spans="4:23" s="3" customFormat="1">
      <c r="D66" s="486"/>
      <c r="E66" s="486"/>
      <c r="F66" s="486"/>
      <c r="H66" s="486"/>
      <c r="I66" s="486"/>
      <c r="J66" s="486"/>
      <c r="K66" s="486"/>
      <c r="P66" s="486"/>
      <c r="Q66" s="486"/>
      <c r="R66" s="486"/>
      <c r="T66" s="486"/>
      <c r="U66" s="486"/>
      <c r="V66" s="486"/>
      <c r="W66" s="486"/>
    </row>
    <row r="67" spans="4:23" s="3" customFormat="1">
      <c r="D67" s="486"/>
      <c r="E67" s="486"/>
      <c r="F67" s="486"/>
      <c r="H67" s="486"/>
      <c r="I67" s="486"/>
      <c r="J67" s="486"/>
      <c r="K67" s="486"/>
      <c r="P67" s="486"/>
      <c r="Q67" s="486"/>
      <c r="R67" s="486"/>
      <c r="T67" s="486"/>
      <c r="U67" s="486"/>
      <c r="V67" s="486"/>
      <c r="W67" s="486"/>
    </row>
    <row r="68" spans="4:23" s="3" customFormat="1">
      <c r="D68" s="486"/>
      <c r="E68" s="486"/>
      <c r="F68" s="486"/>
      <c r="H68" s="486"/>
      <c r="I68" s="486"/>
      <c r="J68" s="486"/>
      <c r="K68" s="486"/>
      <c r="P68" s="486"/>
      <c r="Q68" s="486"/>
      <c r="R68" s="486"/>
      <c r="T68" s="486"/>
      <c r="U68" s="486"/>
      <c r="V68" s="486"/>
      <c r="W68" s="486"/>
    </row>
    <row r="69" spans="4:23" s="3" customFormat="1">
      <c r="D69" s="486"/>
      <c r="E69" s="486"/>
      <c r="F69" s="486"/>
      <c r="H69" s="486"/>
      <c r="I69" s="486"/>
      <c r="J69" s="486"/>
      <c r="K69" s="486"/>
      <c r="P69" s="486"/>
      <c r="Q69" s="486"/>
      <c r="R69" s="486"/>
      <c r="T69" s="486"/>
      <c r="U69" s="486"/>
      <c r="V69" s="486"/>
      <c r="W69" s="486"/>
    </row>
    <row r="70" spans="4:23" s="3" customFormat="1">
      <c r="D70" s="486"/>
      <c r="E70" s="486"/>
      <c r="F70" s="486"/>
      <c r="H70" s="486"/>
      <c r="I70" s="486"/>
      <c r="J70" s="486"/>
      <c r="K70" s="486"/>
      <c r="P70" s="486"/>
      <c r="Q70" s="486"/>
      <c r="R70" s="486"/>
      <c r="T70" s="486"/>
      <c r="U70" s="486"/>
      <c r="V70" s="486"/>
      <c r="W70" s="486"/>
    </row>
    <row r="71" spans="4:23" s="3" customFormat="1">
      <c r="D71" s="486"/>
      <c r="E71" s="486"/>
      <c r="F71" s="486"/>
      <c r="H71" s="486"/>
      <c r="I71" s="486"/>
      <c r="J71" s="486"/>
      <c r="K71" s="486"/>
      <c r="P71" s="486"/>
      <c r="Q71" s="486"/>
      <c r="R71" s="486"/>
      <c r="T71" s="486"/>
      <c r="U71" s="486"/>
      <c r="V71" s="486"/>
      <c r="W71" s="486"/>
    </row>
    <row r="72" spans="4:23" s="3" customFormat="1">
      <c r="D72" s="486"/>
      <c r="E72" s="486"/>
      <c r="F72" s="486"/>
      <c r="H72" s="486"/>
      <c r="I72" s="486"/>
      <c r="J72" s="486"/>
      <c r="K72" s="486"/>
      <c r="P72" s="486"/>
      <c r="Q72" s="486"/>
      <c r="R72" s="486"/>
      <c r="T72" s="486"/>
      <c r="U72" s="486"/>
      <c r="V72" s="486"/>
      <c r="W72" s="486"/>
    </row>
    <row r="73" spans="4:23" s="3" customFormat="1">
      <c r="D73" s="486"/>
      <c r="E73" s="486"/>
      <c r="F73" s="486"/>
      <c r="H73" s="486"/>
      <c r="I73" s="486"/>
      <c r="J73" s="486"/>
      <c r="K73" s="486"/>
      <c r="P73" s="486"/>
      <c r="Q73" s="486"/>
      <c r="R73" s="486"/>
      <c r="T73" s="486"/>
      <c r="U73" s="486"/>
      <c r="V73" s="486"/>
      <c r="W73" s="486"/>
    </row>
    <row r="74" spans="4:23" s="3" customFormat="1">
      <c r="D74" s="486"/>
      <c r="E74" s="486"/>
      <c r="F74" s="486"/>
      <c r="H74" s="486"/>
      <c r="I74" s="486"/>
      <c r="J74" s="486"/>
      <c r="K74" s="486"/>
      <c r="P74" s="486"/>
      <c r="Q74" s="486"/>
      <c r="R74" s="486"/>
      <c r="T74" s="486"/>
      <c r="U74" s="486"/>
      <c r="V74" s="486"/>
      <c r="W74" s="486"/>
    </row>
    <row r="75" spans="4:23" s="3" customFormat="1">
      <c r="D75" s="486"/>
      <c r="E75" s="486"/>
      <c r="F75" s="486"/>
      <c r="H75" s="486"/>
      <c r="I75" s="486"/>
      <c r="J75" s="486"/>
      <c r="K75" s="486"/>
      <c r="P75" s="486"/>
      <c r="Q75" s="486"/>
      <c r="R75" s="486"/>
      <c r="T75" s="486"/>
      <c r="U75" s="486"/>
      <c r="V75" s="486"/>
      <c r="W75" s="486"/>
    </row>
    <row r="76" spans="4:23" s="3" customFormat="1">
      <c r="D76" s="486"/>
      <c r="E76" s="486"/>
      <c r="F76" s="486"/>
      <c r="H76" s="486"/>
      <c r="I76" s="486"/>
      <c r="J76" s="486"/>
      <c r="K76" s="486"/>
      <c r="P76" s="486"/>
      <c r="Q76" s="486"/>
      <c r="R76" s="486"/>
      <c r="T76" s="486"/>
      <c r="U76" s="486"/>
      <c r="V76" s="486"/>
      <c r="W76" s="486"/>
    </row>
    <row r="77" spans="4:23" s="3" customFormat="1">
      <c r="D77" s="486"/>
      <c r="E77" s="486"/>
      <c r="F77" s="486"/>
      <c r="H77" s="486"/>
      <c r="I77" s="486"/>
      <c r="J77" s="486"/>
      <c r="K77" s="486"/>
      <c r="P77" s="486"/>
      <c r="Q77" s="486"/>
      <c r="R77" s="486"/>
      <c r="T77" s="486"/>
      <c r="U77" s="486"/>
      <c r="V77" s="486"/>
      <c r="W77" s="486"/>
    </row>
    <row r="78" spans="4:23" s="3" customFormat="1">
      <c r="D78" s="486"/>
      <c r="E78" s="486"/>
      <c r="F78" s="486"/>
      <c r="H78" s="486"/>
      <c r="I78" s="486"/>
      <c r="J78" s="486"/>
      <c r="K78" s="486"/>
      <c r="P78" s="486"/>
      <c r="Q78" s="486"/>
      <c r="R78" s="486"/>
      <c r="T78" s="486"/>
      <c r="U78" s="486"/>
      <c r="V78" s="486"/>
      <c r="W78" s="486"/>
    </row>
    <row r="79" spans="4:23" s="3" customFormat="1">
      <c r="D79" s="486"/>
      <c r="E79" s="486"/>
      <c r="F79" s="486"/>
      <c r="H79" s="486"/>
      <c r="I79" s="486"/>
      <c r="J79" s="486"/>
      <c r="K79" s="486"/>
      <c r="P79" s="486"/>
      <c r="Q79" s="486"/>
      <c r="R79" s="486"/>
      <c r="T79" s="486"/>
      <c r="U79" s="486"/>
      <c r="V79" s="486"/>
      <c r="W79" s="486"/>
    </row>
    <row r="80" spans="4:23" s="3" customFormat="1">
      <c r="D80" s="486"/>
      <c r="E80" s="486"/>
      <c r="F80" s="486"/>
      <c r="H80" s="486"/>
      <c r="I80" s="486"/>
      <c r="J80" s="486"/>
      <c r="K80" s="486"/>
      <c r="P80" s="486"/>
      <c r="Q80" s="486"/>
      <c r="R80" s="486"/>
      <c r="T80" s="486"/>
      <c r="U80" s="486"/>
      <c r="V80" s="486"/>
      <c r="W80" s="486"/>
    </row>
    <row r="81" spans="4:23" s="3" customFormat="1">
      <c r="D81" s="486"/>
      <c r="E81" s="486"/>
      <c r="F81" s="486"/>
      <c r="H81" s="486"/>
      <c r="I81" s="486"/>
      <c r="J81" s="486"/>
      <c r="K81" s="486"/>
      <c r="P81" s="486"/>
      <c r="Q81" s="486"/>
      <c r="R81" s="486"/>
      <c r="T81" s="486"/>
      <c r="U81" s="486"/>
      <c r="V81" s="486"/>
      <c r="W81" s="486"/>
    </row>
    <row r="82" spans="4:23" s="3" customFormat="1">
      <c r="D82" s="486"/>
      <c r="E82" s="486"/>
      <c r="F82" s="486"/>
      <c r="H82" s="486"/>
      <c r="I82" s="486"/>
      <c r="J82" s="486"/>
      <c r="K82" s="486"/>
      <c r="P82" s="486"/>
      <c r="Q82" s="486"/>
      <c r="R82" s="486"/>
      <c r="T82" s="486"/>
      <c r="U82" s="486"/>
      <c r="V82" s="486"/>
      <c r="W82" s="486"/>
    </row>
    <row r="83" spans="4:23" s="3" customFormat="1">
      <c r="D83" s="486"/>
      <c r="E83" s="486"/>
      <c r="F83" s="486"/>
      <c r="H83" s="486"/>
      <c r="I83" s="486"/>
      <c r="J83" s="486"/>
      <c r="K83" s="486"/>
      <c r="P83" s="486"/>
      <c r="Q83" s="486"/>
      <c r="R83" s="486"/>
      <c r="T83" s="486"/>
      <c r="U83" s="486"/>
      <c r="V83" s="486"/>
      <c r="W83" s="486"/>
    </row>
    <row r="84" spans="4:23" s="3" customFormat="1">
      <c r="D84" s="486"/>
      <c r="E84" s="486"/>
      <c r="F84" s="486"/>
      <c r="H84" s="486"/>
      <c r="I84" s="486"/>
      <c r="J84" s="486"/>
      <c r="K84" s="486"/>
      <c r="P84" s="486"/>
      <c r="Q84" s="486"/>
      <c r="R84" s="486"/>
      <c r="T84" s="486"/>
      <c r="U84" s="486"/>
      <c r="V84" s="486"/>
      <c r="W84" s="486"/>
    </row>
    <row r="85" spans="4:23" s="3" customFormat="1">
      <c r="D85" s="486"/>
      <c r="E85" s="486"/>
      <c r="F85" s="486"/>
      <c r="H85" s="486"/>
      <c r="I85" s="486"/>
      <c r="J85" s="486"/>
      <c r="K85" s="486"/>
      <c r="P85" s="486"/>
      <c r="Q85" s="486"/>
      <c r="R85" s="486"/>
      <c r="T85" s="486"/>
      <c r="U85" s="486"/>
      <c r="V85" s="486"/>
      <c r="W85" s="486"/>
    </row>
    <row r="86" spans="4:23" s="486" customFormat="1"/>
    <row r="87" spans="4:23" s="486" customFormat="1"/>
    <row r="88" spans="4:23" s="486" customFormat="1"/>
    <row r="89" spans="4:23" s="486" customFormat="1"/>
    <row r="90" spans="4:23" s="486" customFormat="1"/>
    <row r="91" spans="4:23" s="486" customFormat="1"/>
    <row r="92" spans="4:23" s="486" customFormat="1"/>
    <row r="93" spans="4:23" s="486" customFormat="1"/>
    <row r="94" spans="4:23" s="486" customFormat="1"/>
    <row r="95" spans="4:23" s="486" customFormat="1"/>
    <row r="96" spans="4:23" s="486" customFormat="1"/>
    <row r="97" s="486" customFormat="1"/>
    <row r="98" s="486" customFormat="1"/>
    <row r="99" s="486" customFormat="1"/>
    <row r="100" s="486" customFormat="1"/>
    <row r="101" s="486" customFormat="1"/>
    <row r="102" s="486" customFormat="1"/>
    <row r="103" s="486" customFormat="1"/>
    <row r="104" s="486" customFormat="1"/>
    <row r="105" s="486" customFormat="1"/>
    <row r="106" s="486" customFormat="1"/>
    <row r="107" s="486" customFormat="1"/>
    <row r="108" s="486" customFormat="1"/>
    <row r="109" s="486" customFormat="1"/>
    <row r="110" s="486" customFormat="1"/>
    <row r="111" s="486" customFormat="1"/>
    <row r="112" s="486" customFormat="1"/>
    <row r="113" spans="2:14" s="486" customFormat="1"/>
    <row r="114" spans="2:14" s="486" customFormat="1"/>
    <row r="115" spans="2:14" s="486" customFormat="1">
      <c r="C115" s="592" t="s">
        <v>372</v>
      </c>
      <c r="D115" s="592"/>
      <c r="E115" s="592"/>
      <c r="F115" s="592"/>
      <c r="G115" s="592"/>
      <c r="H115" s="592"/>
      <c r="I115" s="592"/>
      <c r="J115" s="592"/>
      <c r="K115" s="592"/>
      <c r="L115" s="592"/>
    </row>
    <row r="116" spans="2:14">
      <c r="C116">
        <v>1990</v>
      </c>
      <c r="D116" s="481">
        <v>2013</v>
      </c>
      <c r="E116" s="481">
        <v>2014</v>
      </c>
      <c r="F116" s="481">
        <v>2015</v>
      </c>
      <c r="G116" s="481">
        <v>2016</v>
      </c>
      <c r="H116" s="481">
        <v>2017</v>
      </c>
      <c r="I116" s="481">
        <v>2018</v>
      </c>
      <c r="J116" s="481">
        <v>2019</v>
      </c>
      <c r="K116" s="481">
        <v>2020</v>
      </c>
      <c r="L116" s="481">
        <v>2021</v>
      </c>
    </row>
    <row r="117" spans="2:14">
      <c r="B117" t="s">
        <v>362</v>
      </c>
      <c r="C117" s="475">
        <v>2406952</v>
      </c>
      <c r="D117" s="475">
        <v>2703370</v>
      </c>
      <c r="E117" s="475">
        <v>2373745</v>
      </c>
      <c r="F117" s="475">
        <v>2417147</v>
      </c>
      <c r="G117" s="475">
        <v>2669265</v>
      </c>
      <c r="H117" s="475">
        <v>2639218</v>
      </c>
      <c r="I117" s="475">
        <v>2659442</v>
      </c>
      <c r="J117" s="475">
        <v>2641804</v>
      </c>
      <c r="K117" s="475">
        <v>2448102</v>
      </c>
      <c r="L117" s="475">
        <v>2564327</v>
      </c>
      <c r="M117" s="522"/>
    </row>
    <row r="118" spans="2:14">
      <c r="B118" t="s">
        <v>1</v>
      </c>
      <c r="C118" s="475">
        <v>574255</v>
      </c>
      <c r="D118" s="475">
        <v>1122183</v>
      </c>
      <c r="E118" s="475">
        <v>1176469</v>
      </c>
      <c r="F118" s="475">
        <v>1221099</v>
      </c>
      <c r="G118" s="475">
        <v>1305884</v>
      </c>
      <c r="H118" s="475">
        <v>1356146</v>
      </c>
      <c r="I118" s="475">
        <v>1419678</v>
      </c>
      <c r="J118" s="475">
        <v>1450622</v>
      </c>
      <c r="K118" s="475">
        <v>1019560</v>
      </c>
      <c r="L118" s="475">
        <v>1423648</v>
      </c>
    </row>
    <row r="119" spans="2:14">
      <c r="B119" t="s">
        <v>4</v>
      </c>
      <c r="C119" s="475">
        <v>390686</v>
      </c>
      <c r="D119" s="475">
        <v>16741</v>
      </c>
      <c r="E119" s="475">
        <v>16483</v>
      </c>
      <c r="F119" s="475">
        <v>16937</v>
      </c>
      <c r="G119" s="475">
        <v>16467</v>
      </c>
      <c r="H119" s="475">
        <v>18332</v>
      </c>
      <c r="I119" s="475">
        <v>19662</v>
      </c>
      <c r="J119" s="475">
        <v>19731</v>
      </c>
      <c r="K119" s="475">
        <v>22804</v>
      </c>
      <c r="L119" s="475">
        <v>25214</v>
      </c>
      <c r="N119" s="525">
        <v>6.4537761783119943E-2</v>
      </c>
    </row>
    <row r="120" spans="2:14">
      <c r="B120" t="s">
        <v>11</v>
      </c>
      <c r="C120" s="475">
        <v>1442928</v>
      </c>
      <c r="D120" s="475">
        <v>513222</v>
      </c>
      <c r="E120" s="475">
        <v>599911</v>
      </c>
      <c r="F120" s="475">
        <v>610393</v>
      </c>
      <c r="G120" s="475">
        <v>623177</v>
      </c>
      <c r="H120" s="475">
        <v>646077</v>
      </c>
      <c r="I120" s="475">
        <v>796956</v>
      </c>
      <c r="J120" s="475">
        <v>806825</v>
      </c>
      <c r="K120" s="475">
        <v>618072</v>
      </c>
      <c r="L120" s="475">
        <v>601312</v>
      </c>
    </row>
    <row r="121" spans="2:14">
      <c r="B121" t="s">
        <v>363</v>
      </c>
      <c r="C121" s="475">
        <v>9064</v>
      </c>
      <c r="D121" s="475">
        <v>-3978</v>
      </c>
      <c r="E121" s="475">
        <v>-5028</v>
      </c>
      <c r="F121" s="475">
        <v>-5139</v>
      </c>
      <c r="G121" s="475">
        <v>-5024</v>
      </c>
      <c r="H121" s="475">
        <v>-5031</v>
      </c>
      <c r="I121" s="475">
        <v>-4448</v>
      </c>
      <c r="J121" s="475">
        <v>-4444</v>
      </c>
      <c r="K121" s="475">
        <v>-5049</v>
      </c>
      <c r="L121" s="475">
        <v>-4432</v>
      </c>
    </row>
    <row r="122" spans="2:14">
      <c r="B122" s="481" t="s">
        <v>98</v>
      </c>
      <c r="C122" s="511">
        <v>4823885</v>
      </c>
      <c r="D122" s="511">
        <v>4351538</v>
      </c>
      <c r="E122" s="511">
        <v>4161580</v>
      </c>
      <c r="F122" s="511">
        <v>4260437</v>
      </c>
      <c r="G122" s="511">
        <v>4609769</v>
      </c>
      <c r="H122" s="511">
        <v>4654742</v>
      </c>
      <c r="I122" s="511">
        <v>4891290</v>
      </c>
      <c r="J122" s="511">
        <v>4914538</v>
      </c>
      <c r="K122" s="511">
        <v>4103489</v>
      </c>
      <c r="L122" s="511">
        <v>4610069</v>
      </c>
    </row>
    <row r="123" spans="2:14">
      <c r="B123" s="487" t="s">
        <v>370</v>
      </c>
      <c r="C123" s="523">
        <v>7.5021539657853813</v>
      </c>
      <c r="D123" s="522">
        <v>6.8962567353407289</v>
      </c>
      <c r="E123" s="522">
        <v>6.5952139461172745</v>
      </c>
      <c r="F123" s="522">
        <v>6.7013396585813174</v>
      </c>
      <c r="G123" s="522">
        <v>7.3054976228209192</v>
      </c>
      <c r="H123" s="522">
        <v>7.289138816071759</v>
      </c>
      <c r="I123" s="522">
        <v>7.6311344139059205</v>
      </c>
      <c r="J123" s="522">
        <v>7.6446958867203119</v>
      </c>
      <c r="K123" s="522">
        <v>6.3996921402181215</v>
      </c>
      <c r="L123" s="522">
        <v>7.1897408145027848</v>
      </c>
    </row>
    <row r="124" spans="2:14">
      <c r="B124" s="591" t="s">
        <v>361</v>
      </c>
      <c r="C124" s="524" t="s">
        <v>221</v>
      </c>
      <c r="D124" s="475">
        <v>-472347</v>
      </c>
      <c r="E124" s="475">
        <v>-662305</v>
      </c>
      <c r="F124" s="475">
        <v>-563448</v>
      </c>
      <c r="G124" s="475">
        <v>-214116</v>
      </c>
      <c r="H124" s="475">
        <v>-169143</v>
      </c>
      <c r="I124" s="475">
        <v>67405</v>
      </c>
      <c r="J124" s="475">
        <v>90653</v>
      </c>
      <c r="K124" s="475">
        <v>-720396</v>
      </c>
      <c r="L124" s="475">
        <v>-213816</v>
      </c>
    </row>
    <row r="125" spans="2:14">
      <c r="B125" s="591"/>
      <c r="C125" t="s">
        <v>371</v>
      </c>
      <c r="D125" s="525">
        <v>9.7918379065835892E-2</v>
      </c>
      <c r="E125" s="525">
        <v>0.13729701267754102</v>
      </c>
      <c r="F125" s="525">
        <v>0.1168037795262532</v>
      </c>
      <c r="G125" s="525">
        <v>4.4386630278292261E-2</v>
      </c>
      <c r="H125" s="525">
        <v>3.5063646832376838E-2</v>
      </c>
      <c r="I125" s="525">
        <v>-1.3973177221264566E-2</v>
      </c>
      <c r="J125" s="525">
        <v>-1.8792529258056634E-2</v>
      </c>
      <c r="K125" s="525">
        <v>0.14933938101758226</v>
      </c>
      <c r="L125" s="525">
        <v>4.432443974099709E-2</v>
      </c>
    </row>
  </sheetData>
  <mergeCells count="16">
    <mergeCell ref="O18:X18"/>
    <mergeCell ref="C34:L34"/>
    <mergeCell ref="M34:M35"/>
    <mergeCell ref="N34:N35"/>
    <mergeCell ref="C3:L3"/>
    <mergeCell ref="O3:X3"/>
    <mergeCell ref="M18:M19"/>
    <mergeCell ref="N18:N19"/>
    <mergeCell ref="C18:L18"/>
    <mergeCell ref="B124:B125"/>
    <mergeCell ref="C115:L115"/>
    <mergeCell ref="B3:B4"/>
    <mergeCell ref="M3:M4"/>
    <mergeCell ref="N3:N4"/>
    <mergeCell ref="B18:B19"/>
    <mergeCell ref="B34:B35"/>
  </mergeCells>
  <dataValidations count="1">
    <dataValidation type="list" allowBlank="1" showInputMessage="1" showErrorMessage="1" sqref="B20:B32">
      <formula1>paliwa</formula1>
    </dataValidation>
  </dataValidations>
  <pageMargins left="0.7" right="0.7" top="0.75" bottom="0.75" header="0.3" footer="0.3"/>
  <pageSetup paperSize="9" orientation="portrait" r:id="rId1"/>
  <cellWatches>
    <cellWatch r="L33"/>
  </cellWatche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 tint="-0.14999847407452621"/>
  </sheetPr>
  <dimension ref="B1:T67"/>
  <sheetViews>
    <sheetView topLeftCell="A31" workbookViewId="0">
      <selection activeCell="B60" sqref="B60"/>
    </sheetView>
  </sheetViews>
  <sheetFormatPr defaultRowHeight="15"/>
  <sheetData>
    <row r="1" spans="2:20" ht="15.75" thickBot="1"/>
    <row r="2" spans="2:20" ht="15.75" thickBot="1">
      <c r="B2" s="604" t="s">
        <v>336</v>
      </c>
      <c r="C2" s="605"/>
      <c r="D2" s="605"/>
      <c r="E2" s="605"/>
      <c r="F2" s="605"/>
      <c r="G2" s="606"/>
      <c r="H2" s="3"/>
      <c r="I2" s="604" t="s">
        <v>337</v>
      </c>
      <c r="J2" s="605"/>
      <c r="K2" s="605"/>
      <c r="L2" s="605"/>
      <c r="M2" s="605"/>
      <c r="O2" s="604" t="s">
        <v>338</v>
      </c>
      <c r="P2" s="605"/>
      <c r="Q2" s="605"/>
      <c r="R2" s="605"/>
      <c r="S2" s="605"/>
      <c r="T2" s="606"/>
    </row>
    <row r="3" spans="2:20">
      <c r="B3" s="218"/>
      <c r="C3" s="602" t="s">
        <v>163</v>
      </c>
      <c r="D3" s="602"/>
      <c r="E3" s="602"/>
      <c r="F3" s="602"/>
      <c r="G3" s="183"/>
      <c r="H3" s="182"/>
      <c r="I3" s="218"/>
      <c r="J3" s="602" t="s">
        <v>163</v>
      </c>
      <c r="K3" s="602"/>
      <c r="L3" s="602"/>
      <c r="M3" s="602"/>
      <c r="O3" s="218"/>
      <c r="P3" s="602" t="s">
        <v>163</v>
      </c>
      <c r="Q3" s="602"/>
      <c r="R3" s="602"/>
      <c r="S3" s="602"/>
      <c r="T3" s="183"/>
    </row>
    <row r="4" spans="2:20">
      <c r="B4" s="219" t="s">
        <v>180</v>
      </c>
      <c r="C4" s="217" t="s">
        <v>170</v>
      </c>
      <c r="D4" s="217" t="s">
        <v>171</v>
      </c>
      <c r="E4" s="217" t="s">
        <v>172</v>
      </c>
      <c r="F4" s="217" t="s">
        <v>173</v>
      </c>
      <c r="G4" s="184" t="s">
        <v>98</v>
      </c>
      <c r="H4" s="3"/>
      <c r="I4" s="219" t="s">
        <v>180</v>
      </c>
      <c r="J4" s="217" t="s">
        <v>170</v>
      </c>
      <c r="K4" s="217" t="s">
        <v>171</v>
      </c>
      <c r="L4" s="217" t="s">
        <v>172</v>
      </c>
      <c r="M4" s="217" t="s">
        <v>173</v>
      </c>
      <c r="O4" s="219" t="s">
        <v>180</v>
      </c>
      <c r="P4" s="217" t="s">
        <v>170</v>
      </c>
      <c r="Q4" s="217" t="s">
        <v>171</v>
      </c>
      <c r="R4" s="217" t="s">
        <v>172</v>
      </c>
      <c r="S4" s="217" t="s">
        <v>173</v>
      </c>
      <c r="T4" s="184" t="s">
        <v>98</v>
      </c>
    </row>
    <row r="5" spans="2:20">
      <c r="B5" s="220" t="s">
        <v>174</v>
      </c>
      <c r="C5" s="422">
        <v>1</v>
      </c>
      <c r="D5" s="423"/>
      <c r="E5" s="423">
        <v>18</v>
      </c>
      <c r="F5" s="424"/>
      <c r="G5" s="194">
        <f>SUM(C5:F5)</f>
        <v>19</v>
      </c>
      <c r="H5" s="3"/>
      <c r="I5" s="220" t="s">
        <v>174</v>
      </c>
      <c r="J5" s="422">
        <v>1.0878896269800715</v>
      </c>
      <c r="K5" s="423">
        <v>1.0878896269800715</v>
      </c>
      <c r="L5" s="423">
        <v>1.0878896269800715</v>
      </c>
      <c r="M5" s="424">
        <v>1.0878896269800715</v>
      </c>
      <c r="O5" s="220" t="s">
        <v>174</v>
      </c>
      <c r="P5" s="422">
        <f>ROUND(C5*J5,0)</f>
        <v>1</v>
      </c>
      <c r="Q5" s="422">
        <f t="shared" ref="Q5:S5" si="0">ROUND(D5*K5,0)</f>
        <v>0</v>
      </c>
      <c r="R5" s="422">
        <f t="shared" si="0"/>
        <v>20</v>
      </c>
      <c r="S5" s="422">
        <f t="shared" si="0"/>
        <v>0</v>
      </c>
      <c r="T5" s="194">
        <f>SUM(P5:S5)</f>
        <v>21</v>
      </c>
    </row>
    <row r="6" spans="2:20">
      <c r="B6" s="220" t="s">
        <v>175</v>
      </c>
      <c r="C6" s="425"/>
      <c r="D6" s="426"/>
      <c r="E6" s="426">
        <v>20</v>
      </c>
      <c r="F6" s="427"/>
      <c r="G6" s="194">
        <f t="shared" ref="G6:G10" si="1">SUM(C6:F6)</f>
        <v>20</v>
      </c>
      <c r="H6" s="3"/>
      <c r="I6" s="220" t="s">
        <v>175</v>
      </c>
      <c r="J6" s="425">
        <v>1.0012266928361138</v>
      </c>
      <c r="K6" s="425">
        <v>1.0012266928361138</v>
      </c>
      <c r="L6" s="425">
        <v>1.0012266928361138</v>
      </c>
      <c r="M6" s="425">
        <v>1.0012266928361138</v>
      </c>
      <c r="O6" s="220" t="s">
        <v>175</v>
      </c>
      <c r="P6" s="422">
        <f t="shared" ref="P6:P10" si="2">ROUND(C6*J6,0)</f>
        <v>0</v>
      </c>
      <c r="Q6" s="422">
        <f t="shared" ref="Q6:Q10" si="3">ROUND(D6*K6,0)</f>
        <v>0</v>
      </c>
      <c r="R6" s="422">
        <f t="shared" ref="R6:R10" si="4">ROUND(E6*L6,0)</f>
        <v>20</v>
      </c>
      <c r="S6" s="422">
        <f t="shared" ref="S6:S10" si="5">ROUND(F6*M6,0)</f>
        <v>0</v>
      </c>
      <c r="T6" s="194">
        <f t="shared" ref="T6:T10" si="6">SUM(P6:S6)</f>
        <v>20</v>
      </c>
    </row>
    <row r="7" spans="2:20">
      <c r="B7" s="220" t="s">
        <v>176</v>
      </c>
      <c r="C7" s="425">
        <v>11902</v>
      </c>
      <c r="D7" s="426">
        <v>391</v>
      </c>
      <c r="E7" s="426">
        <v>14</v>
      </c>
      <c r="F7" s="427">
        <v>144</v>
      </c>
      <c r="G7" s="194">
        <f t="shared" si="1"/>
        <v>12451</v>
      </c>
      <c r="H7" s="3"/>
      <c r="I7" s="220" t="s">
        <v>176</v>
      </c>
      <c r="J7" s="425">
        <v>1.6164405555109578</v>
      </c>
      <c r="K7" s="425">
        <v>1.6164405555109578</v>
      </c>
      <c r="L7" s="425">
        <v>1.6164405555109578</v>
      </c>
      <c r="M7" s="425">
        <v>1.6164405555109578</v>
      </c>
      <c r="O7" s="220" t="s">
        <v>176</v>
      </c>
      <c r="P7" s="422">
        <f t="shared" si="2"/>
        <v>19239</v>
      </c>
      <c r="Q7" s="422">
        <f t="shared" si="3"/>
        <v>632</v>
      </c>
      <c r="R7" s="422">
        <f t="shared" si="4"/>
        <v>23</v>
      </c>
      <c r="S7" s="422">
        <f t="shared" si="5"/>
        <v>233</v>
      </c>
      <c r="T7" s="194">
        <f t="shared" si="6"/>
        <v>20127</v>
      </c>
    </row>
    <row r="8" spans="2:20">
      <c r="B8" s="220" t="s">
        <v>177</v>
      </c>
      <c r="C8" s="425">
        <v>3790</v>
      </c>
      <c r="D8" s="426">
        <v>4529</v>
      </c>
      <c r="E8" s="426">
        <v>4101</v>
      </c>
      <c r="F8" s="427"/>
      <c r="G8" s="194">
        <f t="shared" si="1"/>
        <v>12420</v>
      </c>
      <c r="H8" s="3"/>
      <c r="I8" s="220" t="s">
        <v>177</v>
      </c>
      <c r="J8" s="425">
        <v>1.0260812975570686</v>
      </c>
      <c r="K8" s="425">
        <v>1.0260812975570686</v>
      </c>
      <c r="L8" s="425">
        <v>1.0260812975570686</v>
      </c>
      <c r="M8" s="425">
        <v>1.0260812975570699</v>
      </c>
      <c r="O8" s="220" t="s">
        <v>177</v>
      </c>
      <c r="P8" s="422">
        <f t="shared" si="2"/>
        <v>3889</v>
      </c>
      <c r="Q8" s="422">
        <f t="shared" si="3"/>
        <v>4647</v>
      </c>
      <c r="R8" s="422">
        <f t="shared" si="4"/>
        <v>4208</v>
      </c>
      <c r="S8" s="422">
        <f t="shared" si="5"/>
        <v>0</v>
      </c>
      <c r="T8" s="194">
        <f t="shared" si="6"/>
        <v>12744</v>
      </c>
    </row>
    <row r="9" spans="2:20">
      <c r="B9" s="220" t="s">
        <v>178</v>
      </c>
      <c r="C9" s="425">
        <v>102197</v>
      </c>
      <c r="D9" s="426">
        <v>76488</v>
      </c>
      <c r="E9" s="426">
        <v>8161</v>
      </c>
      <c r="F9" s="427"/>
      <c r="G9" s="194">
        <f t="shared" si="1"/>
        <v>186846</v>
      </c>
      <c r="H9" s="3"/>
      <c r="I9" s="220" t="s">
        <v>178</v>
      </c>
      <c r="J9" s="425">
        <v>1.0391883351647413</v>
      </c>
      <c r="K9" s="425">
        <v>1.0391883351647413</v>
      </c>
      <c r="L9" s="425">
        <v>1.0391883351647413</v>
      </c>
      <c r="M9" s="425">
        <v>1.03918833516474</v>
      </c>
      <c r="O9" s="220" t="s">
        <v>178</v>
      </c>
      <c r="P9" s="422">
        <f t="shared" si="2"/>
        <v>106202</v>
      </c>
      <c r="Q9" s="422">
        <f t="shared" si="3"/>
        <v>79485</v>
      </c>
      <c r="R9" s="422">
        <f t="shared" si="4"/>
        <v>8481</v>
      </c>
      <c r="S9" s="422">
        <f t="shared" si="5"/>
        <v>0</v>
      </c>
      <c r="T9" s="194">
        <f t="shared" si="6"/>
        <v>194168</v>
      </c>
    </row>
    <row r="10" spans="2:20">
      <c r="B10" s="220" t="s">
        <v>179</v>
      </c>
      <c r="C10" s="425">
        <v>2</v>
      </c>
      <c r="D10" s="426">
        <v>90</v>
      </c>
      <c r="E10" s="426">
        <v>223</v>
      </c>
      <c r="F10" s="427"/>
      <c r="G10" s="194">
        <f t="shared" si="1"/>
        <v>315</v>
      </c>
      <c r="H10" s="3"/>
      <c r="I10" s="220" t="s">
        <v>179</v>
      </c>
      <c r="J10" s="425">
        <v>1.1331002957784351</v>
      </c>
      <c r="K10" s="425">
        <v>1.1331002957784351</v>
      </c>
      <c r="L10" s="425">
        <v>1.1331002957784351</v>
      </c>
      <c r="M10" s="425">
        <v>1.13310029577844</v>
      </c>
      <c r="O10" s="220" t="s">
        <v>179</v>
      </c>
      <c r="P10" s="422">
        <f t="shared" si="2"/>
        <v>2</v>
      </c>
      <c r="Q10" s="422">
        <f t="shared" si="3"/>
        <v>102</v>
      </c>
      <c r="R10" s="422">
        <f t="shared" si="4"/>
        <v>253</v>
      </c>
      <c r="S10" s="422">
        <f t="shared" si="5"/>
        <v>0</v>
      </c>
      <c r="T10" s="194">
        <f t="shared" si="6"/>
        <v>357</v>
      </c>
    </row>
    <row r="11" spans="2:20">
      <c r="B11" s="221"/>
      <c r="C11" s="603" t="s">
        <v>169</v>
      </c>
      <c r="D11" s="603"/>
      <c r="E11" s="603"/>
      <c r="F11" s="603"/>
      <c r="G11" s="185"/>
      <c r="H11" s="3"/>
      <c r="I11" s="221"/>
      <c r="J11" s="603" t="s">
        <v>169</v>
      </c>
      <c r="K11" s="603"/>
      <c r="L11" s="603"/>
      <c r="M11" s="603"/>
      <c r="O11" s="221"/>
      <c r="P11" s="603" t="s">
        <v>169</v>
      </c>
      <c r="Q11" s="603"/>
      <c r="R11" s="603"/>
      <c r="S11" s="603"/>
      <c r="T11" s="185"/>
    </row>
    <row r="12" spans="2:20">
      <c r="B12" s="219" t="s">
        <v>180</v>
      </c>
      <c r="C12" s="217" t="s">
        <v>170</v>
      </c>
      <c r="D12" s="217" t="s">
        <v>171</v>
      </c>
      <c r="E12" s="217" t="s">
        <v>172</v>
      </c>
      <c r="F12" s="217" t="s">
        <v>173</v>
      </c>
      <c r="G12" s="184" t="s">
        <v>98</v>
      </c>
      <c r="H12" s="3"/>
      <c r="I12" s="219" t="s">
        <v>180</v>
      </c>
      <c r="J12" s="217" t="s">
        <v>170</v>
      </c>
      <c r="K12" s="217" t="s">
        <v>171</v>
      </c>
      <c r="L12" s="217" t="s">
        <v>172</v>
      </c>
      <c r="M12" s="217" t="s">
        <v>173</v>
      </c>
      <c r="O12" s="219" t="s">
        <v>180</v>
      </c>
      <c r="P12" s="217" t="s">
        <v>170</v>
      </c>
      <c r="Q12" s="217" t="s">
        <v>171</v>
      </c>
      <c r="R12" s="217" t="s">
        <v>172</v>
      </c>
      <c r="S12" s="217" t="s">
        <v>173</v>
      </c>
      <c r="T12" s="184" t="s">
        <v>98</v>
      </c>
    </row>
    <row r="13" spans="2:20">
      <c r="B13" s="220" t="s">
        <v>174</v>
      </c>
      <c r="C13" s="422">
        <v>2</v>
      </c>
      <c r="D13" s="423">
        <v>2</v>
      </c>
      <c r="E13" s="423">
        <v>1899</v>
      </c>
      <c r="F13" s="424">
        <v>30</v>
      </c>
      <c r="G13" s="194">
        <f t="shared" ref="G13:G18" si="7">SUM(C13:F13)</f>
        <v>1933</v>
      </c>
      <c r="H13" s="3"/>
      <c r="I13" s="220" t="s">
        <v>174</v>
      </c>
      <c r="J13" s="422">
        <v>1.0878896269800715</v>
      </c>
      <c r="K13" s="423">
        <v>1.0878896269800715</v>
      </c>
      <c r="L13" s="423">
        <v>1.0878896269800715</v>
      </c>
      <c r="M13" s="424">
        <v>1.0878896269800715</v>
      </c>
      <c r="O13" s="220" t="s">
        <v>174</v>
      </c>
      <c r="P13" s="422">
        <f>ROUND(C13*J13,0)</f>
        <v>2</v>
      </c>
      <c r="Q13" s="422">
        <f t="shared" ref="Q13:Q18" si="8">ROUND(D13*K13,0)</f>
        <v>2</v>
      </c>
      <c r="R13" s="422">
        <f t="shared" ref="R13:R18" si="9">ROUND(E13*L13,0)</f>
        <v>2066</v>
      </c>
      <c r="S13" s="422">
        <f t="shared" ref="S13:S18" si="10">ROUND(F13*M13,0)</f>
        <v>33</v>
      </c>
      <c r="T13" s="194">
        <f t="shared" ref="T13:T18" si="11">SUM(P13:S13)</f>
        <v>2103</v>
      </c>
    </row>
    <row r="14" spans="2:20">
      <c r="B14" s="220" t="s">
        <v>175</v>
      </c>
      <c r="C14" s="425">
        <v>3</v>
      </c>
      <c r="D14" s="426">
        <v>2</v>
      </c>
      <c r="E14" s="426">
        <v>4035</v>
      </c>
      <c r="F14" s="427">
        <v>13</v>
      </c>
      <c r="G14" s="194">
        <f t="shared" si="7"/>
        <v>4053</v>
      </c>
      <c r="H14" s="3"/>
      <c r="I14" s="220" t="s">
        <v>175</v>
      </c>
      <c r="J14" s="425">
        <v>1.0012266928361138</v>
      </c>
      <c r="K14" s="425">
        <v>1.0012266928361138</v>
      </c>
      <c r="L14" s="425">
        <v>1.0012266928361138</v>
      </c>
      <c r="M14" s="425">
        <v>1.0012266928361138</v>
      </c>
      <c r="O14" s="220" t="s">
        <v>175</v>
      </c>
      <c r="P14" s="422">
        <f t="shared" ref="P14:P18" si="12">ROUND(C14*J14,0)</f>
        <v>3</v>
      </c>
      <c r="Q14" s="422">
        <f t="shared" si="8"/>
        <v>2</v>
      </c>
      <c r="R14" s="422">
        <f t="shared" si="9"/>
        <v>4040</v>
      </c>
      <c r="S14" s="422">
        <f t="shared" si="10"/>
        <v>13</v>
      </c>
      <c r="T14" s="194">
        <f t="shared" si="11"/>
        <v>4058</v>
      </c>
    </row>
    <row r="15" spans="2:20">
      <c r="B15" s="220" t="s">
        <v>176</v>
      </c>
      <c r="C15" s="425">
        <v>5</v>
      </c>
      <c r="D15" s="426"/>
      <c r="E15" s="426"/>
      <c r="F15" s="427"/>
      <c r="G15" s="194">
        <f t="shared" si="7"/>
        <v>5</v>
      </c>
      <c r="H15" s="3"/>
      <c r="I15" s="220" t="s">
        <v>176</v>
      </c>
      <c r="J15" s="425">
        <v>1.6164405555109578</v>
      </c>
      <c r="K15" s="425">
        <v>1.6164405555109578</v>
      </c>
      <c r="L15" s="425">
        <v>1.6164405555109578</v>
      </c>
      <c r="M15" s="425">
        <v>1.6164405555109578</v>
      </c>
      <c r="O15" s="220" t="s">
        <v>176</v>
      </c>
      <c r="P15" s="422">
        <f t="shared" si="12"/>
        <v>8</v>
      </c>
      <c r="Q15" s="422">
        <f t="shared" si="8"/>
        <v>0</v>
      </c>
      <c r="R15" s="422">
        <f t="shared" si="9"/>
        <v>0</v>
      </c>
      <c r="S15" s="422">
        <f t="shared" si="10"/>
        <v>0</v>
      </c>
      <c r="T15" s="194">
        <f t="shared" si="11"/>
        <v>8</v>
      </c>
    </row>
    <row r="16" spans="2:20">
      <c r="B16" s="220" t="s">
        <v>177</v>
      </c>
      <c r="C16" s="425">
        <v>2388</v>
      </c>
      <c r="D16" s="426">
        <v>12340</v>
      </c>
      <c r="E16" s="426">
        <v>29824</v>
      </c>
      <c r="F16" s="427">
        <v>429</v>
      </c>
      <c r="G16" s="194">
        <f t="shared" si="7"/>
        <v>44981</v>
      </c>
      <c r="H16" s="3"/>
      <c r="I16" s="220" t="s">
        <v>177</v>
      </c>
      <c r="J16" s="425">
        <v>1.0260812975570686</v>
      </c>
      <c r="K16" s="425">
        <v>1.0260812975570686</v>
      </c>
      <c r="L16" s="425">
        <v>1.0260812975570686</v>
      </c>
      <c r="M16" s="425">
        <v>1.0260812975570699</v>
      </c>
      <c r="O16" s="220" t="s">
        <v>177</v>
      </c>
      <c r="P16" s="422">
        <f t="shared" si="12"/>
        <v>2450</v>
      </c>
      <c r="Q16" s="422">
        <f t="shared" si="8"/>
        <v>12662</v>
      </c>
      <c r="R16" s="422">
        <f t="shared" si="9"/>
        <v>30602</v>
      </c>
      <c r="S16" s="422">
        <f t="shared" si="10"/>
        <v>440</v>
      </c>
      <c r="T16" s="194">
        <f t="shared" si="11"/>
        <v>46154</v>
      </c>
    </row>
    <row r="17" spans="2:20">
      <c r="B17" s="220" t="s">
        <v>178</v>
      </c>
      <c r="C17" s="425">
        <v>31850</v>
      </c>
      <c r="D17" s="426">
        <v>84934</v>
      </c>
      <c r="E17" s="426">
        <v>19513</v>
      </c>
      <c r="F17" s="427">
        <v>1317</v>
      </c>
      <c r="G17" s="194">
        <f t="shared" si="7"/>
        <v>137614</v>
      </c>
      <c r="H17" s="3"/>
      <c r="I17" s="220" t="s">
        <v>178</v>
      </c>
      <c r="J17" s="425">
        <v>1.0391883351647413</v>
      </c>
      <c r="K17" s="425">
        <v>1.0391883351647413</v>
      </c>
      <c r="L17" s="425">
        <v>1.0391883351647413</v>
      </c>
      <c r="M17" s="425">
        <v>1.03918833516474</v>
      </c>
      <c r="O17" s="220" t="s">
        <v>178</v>
      </c>
      <c r="P17" s="422">
        <f t="shared" si="12"/>
        <v>33098</v>
      </c>
      <c r="Q17" s="422">
        <f t="shared" si="8"/>
        <v>88262</v>
      </c>
      <c r="R17" s="422">
        <f t="shared" si="9"/>
        <v>20278</v>
      </c>
      <c r="S17" s="422">
        <f t="shared" si="10"/>
        <v>1369</v>
      </c>
      <c r="T17" s="194">
        <f t="shared" si="11"/>
        <v>143007</v>
      </c>
    </row>
    <row r="18" spans="2:20">
      <c r="B18" s="220" t="s">
        <v>179</v>
      </c>
      <c r="C18" s="425">
        <v>37</v>
      </c>
      <c r="D18" s="426">
        <v>327</v>
      </c>
      <c r="E18" s="426">
        <v>2783</v>
      </c>
      <c r="F18" s="427">
        <v>203</v>
      </c>
      <c r="G18" s="194">
        <f t="shared" si="7"/>
        <v>3350</v>
      </c>
      <c r="H18" s="3"/>
      <c r="I18" s="220" t="s">
        <v>179</v>
      </c>
      <c r="J18" s="425">
        <v>1.1331002957784351</v>
      </c>
      <c r="K18" s="425">
        <v>1.1331002957784351</v>
      </c>
      <c r="L18" s="425">
        <v>1.1331002957784351</v>
      </c>
      <c r="M18" s="425">
        <v>1.13310029577844</v>
      </c>
      <c r="O18" s="220" t="s">
        <v>179</v>
      </c>
      <c r="P18" s="422">
        <f t="shared" si="12"/>
        <v>42</v>
      </c>
      <c r="Q18" s="422">
        <f t="shared" si="8"/>
        <v>371</v>
      </c>
      <c r="R18" s="422">
        <f t="shared" si="9"/>
        <v>3153</v>
      </c>
      <c r="S18" s="422">
        <f t="shared" si="10"/>
        <v>230</v>
      </c>
      <c r="T18" s="194">
        <f t="shared" si="11"/>
        <v>3796</v>
      </c>
    </row>
    <row r="19" spans="2:20">
      <c r="B19" s="221"/>
      <c r="C19" s="603" t="s">
        <v>167</v>
      </c>
      <c r="D19" s="603"/>
      <c r="E19" s="603"/>
      <c r="F19" s="191"/>
      <c r="G19" s="185"/>
      <c r="H19" s="3"/>
      <c r="I19" s="221"/>
      <c r="J19" s="603" t="s">
        <v>167</v>
      </c>
      <c r="K19" s="603"/>
      <c r="L19" s="603"/>
      <c r="M19" s="191"/>
      <c r="O19" s="221"/>
      <c r="P19" s="603" t="s">
        <v>167</v>
      </c>
      <c r="Q19" s="603"/>
      <c r="R19" s="603"/>
      <c r="S19" s="191"/>
      <c r="T19" s="185"/>
    </row>
    <row r="20" spans="2:20">
      <c r="B20" s="219" t="s">
        <v>180</v>
      </c>
      <c r="C20" s="217" t="s">
        <v>170</v>
      </c>
      <c r="D20" s="217" t="s">
        <v>171</v>
      </c>
      <c r="E20" s="217" t="s">
        <v>172</v>
      </c>
      <c r="F20" s="217" t="s">
        <v>173</v>
      </c>
      <c r="G20" s="184" t="s">
        <v>98</v>
      </c>
      <c r="H20" s="3"/>
      <c r="I20" s="219" t="s">
        <v>180</v>
      </c>
      <c r="J20" s="217" t="s">
        <v>170</v>
      </c>
      <c r="K20" s="217" t="s">
        <v>171</v>
      </c>
      <c r="L20" s="217" t="s">
        <v>172</v>
      </c>
      <c r="M20" s="217" t="s">
        <v>173</v>
      </c>
      <c r="O20" s="219" t="s">
        <v>180</v>
      </c>
      <c r="P20" s="217" t="s">
        <v>170</v>
      </c>
      <c r="Q20" s="217" t="s">
        <v>171</v>
      </c>
      <c r="R20" s="217" t="s">
        <v>172</v>
      </c>
      <c r="S20" s="217" t="s">
        <v>173</v>
      </c>
      <c r="T20" s="184" t="s">
        <v>98</v>
      </c>
    </row>
    <row r="21" spans="2:20">
      <c r="B21" s="220" t="s">
        <v>174</v>
      </c>
      <c r="C21" s="422"/>
      <c r="D21" s="423"/>
      <c r="E21" s="423"/>
      <c r="F21" s="424"/>
      <c r="G21" s="194">
        <f t="shared" ref="G21:G26" si="13">SUM(C21:F21)</f>
        <v>0</v>
      </c>
      <c r="H21" s="3"/>
      <c r="I21" s="220" t="s">
        <v>174</v>
      </c>
      <c r="J21" s="422">
        <v>1.0878896269800715</v>
      </c>
      <c r="K21" s="423">
        <v>1.0878896269800715</v>
      </c>
      <c r="L21" s="423">
        <v>1.0878896269800715</v>
      </c>
      <c r="M21" s="424">
        <v>1.0878896269800715</v>
      </c>
      <c r="O21" s="220" t="s">
        <v>174</v>
      </c>
      <c r="P21" s="422">
        <f>ROUND(C21*J21,0)</f>
        <v>0</v>
      </c>
      <c r="Q21" s="422">
        <f t="shared" ref="Q21:Q26" si="14">ROUND(D21*K21,0)</f>
        <v>0</v>
      </c>
      <c r="R21" s="422">
        <f t="shared" ref="R21:R26" si="15">ROUND(E21*L21,0)</f>
        <v>0</v>
      </c>
      <c r="S21" s="422">
        <f t="shared" ref="S21:S26" si="16">ROUND(F21*M21,0)</f>
        <v>0</v>
      </c>
      <c r="T21" s="194">
        <f t="shared" ref="T21:T26" si="17">SUM(P21:S21)</f>
        <v>0</v>
      </c>
    </row>
    <row r="22" spans="2:20">
      <c r="B22" s="220" t="s">
        <v>175</v>
      </c>
      <c r="C22" s="425"/>
      <c r="D22" s="426"/>
      <c r="E22" s="426">
        <v>3</v>
      </c>
      <c r="F22" s="427"/>
      <c r="G22" s="194">
        <f t="shared" si="13"/>
        <v>3</v>
      </c>
      <c r="H22" s="3"/>
      <c r="I22" s="220" t="s">
        <v>175</v>
      </c>
      <c r="J22" s="425">
        <v>1.0012266928361138</v>
      </c>
      <c r="K22" s="425">
        <v>1.0012266928361138</v>
      </c>
      <c r="L22" s="425">
        <v>1.0012266928361138</v>
      </c>
      <c r="M22" s="425">
        <v>1.0012266928361138</v>
      </c>
      <c r="O22" s="220" t="s">
        <v>175</v>
      </c>
      <c r="P22" s="422">
        <f t="shared" ref="P22:P26" si="18">ROUND(C22*J22,0)</f>
        <v>0</v>
      </c>
      <c r="Q22" s="422">
        <f t="shared" si="14"/>
        <v>0</v>
      </c>
      <c r="R22" s="422">
        <f t="shared" si="15"/>
        <v>3</v>
      </c>
      <c r="S22" s="422">
        <f t="shared" si="16"/>
        <v>0</v>
      </c>
      <c r="T22" s="194">
        <f t="shared" si="17"/>
        <v>3</v>
      </c>
    </row>
    <row r="23" spans="2:20">
      <c r="B23" s="220" t="s">
        <v>176</v>
      </c>
      <c r="C23" s="425"/>
      <c r="D23" s="426">
        <v>1</v>
      </c>
      <c r="E23" s="426"/>
      <c r="F23" s="427"/>
      <c r="G23" s="194">
        <f t="shared" si="13"/>
        <v>1</v>
      </c>
      <c r="H23" s="3"/>
      <c r="I23" s="220" t="s">
        <v>176</v>
      </c>
      <c r="J23" s="425">
        <v>1.6164405555109578</v>
      </c>
      <c r="K23" s="425">
        <v>1.6164405555109578</v>
      </c>
      <c r="L23" s="425">
        <v>1.6164405555109578</v>
      </c>
      <c r="M23" s="425">
        <v>1.6164405555109578</v>
      </c>
      <c r="O23" s="220" t="s">
        <v>176</v>
      </c>
      <c r="P23" s="422">
        <f t="shared" si="18"/>
        <v>0</v>
      </c>
      <c r="Q23" s="422">
        <f t="shared" si="14"/>
        <v>2</v>
      </c>
      <c r="R23" s="422">
        <f t="shared" si="15"/>
        <v>0</v>
      </c>
      <c r="S23" s="422">
        <f t="shared" si="16"/>
        <v>0</v>
      </c>
      <c r="T23" s="194">
        <f t="shared" si="17"/>
        <v>2</v>
      </c>
    </row>
    <row r="24" spans="2:20">
      <c r="B24" s="220" t="s">
        <v>177</v>
      </c>
      <c r="C24" s="425">
        <v>1188</v>
      </c>
      <c r="D24" s="426">
        <v>839</v>
      </c>
      <c r="E24" s="426">
        <v>340</v>
      </c>
      <c r="F24" s="427"/>
      <c r="G24" s="194">
        <f t="shared" si="13"/>
        <v>2367</v>
      </c>
      <c r="H24" s="3"/>
      <c r="I24" s="220" t="s">
        <v>177</v>
      </c>
      <c r="J24" s="425">
        <v>1.0260812975570686</v>
      </c>
      <c r="K24" s="425">
        <v>1.0260812975570686</v>
      </c>
      <c r="L24" s="425">
        <v>1.0260812975570686</v>
      </c>
      <c r="M24" s="425">
        <v>1.0260812975570699</v>
      </c>
      <c r="O24" s="220" t="s">
        <v>177</v>
      </c>
      <c r="P24" s="422">
        <f t="shared" si="18"/>
        <v>1219</v>
      </c>
      <c r="Q24" s="422">
        <f t="shared" si="14"/>
        <v>861</v>
      </c>
      <c r="R24" s="422">
        <f t="shared" si="15"/>
        <v>349</v>
      </c>
      <c r="S24" s="422">
        <f t="shared" si="16"/>
        <v>0</v>
      </c>
      <c r="T24" s="194">
        <f t="shared" si="17"/>
        <v>2429</v>
      </c>
    </row>
    <row r="25" spans="2:20">
      <c r="B25" s="220" t="s">
        <v>178</v>
      </c>
      <c r="C25" s="425">
        <v>6742</v>
      </c>
      <c r="D25" s="426">
        <v>16380</v>
      </c>
      <c r="E25" s="426">
        <v>3319</v>
      </c>
      <c r="F25" s="427"/>
      <c r="G25" s="194">
        <f t="shared" si="13"/>
        <v>26441</v>
      </c>
      <c r="H25" s="3"/>
      <c r="I25" s="220" t="s">
        <v>178</v>
      </c>
      <c r="J25" s="425">
        <v>1.0391883351647413</v>
      </c>
      <c r="K25" s="425">
        <v>1.0391883351647413</v>
      </c>
      <c r="L25" s="425">
        <v>1.0391883351647413</v>
      </c>
      <c r="M25" s="425">
        <v>1.03918833516474</v>
      </c>
      <c r="O25" s="220" t="s">
        <v>178</v>
      </c>
      <c r="P25" s="422">
        <f t="shared" si="18"/>
        <v>7006</v>
      </c>
      <c r="Q25" s="422">
        <f t="shared" si="14"/>
        <v>17022</v>
      </c>
      <c r="R25" s="422">
        <f t="shared" si="15"/>
        <v>3449</v>
      </c>
      <c r="S25" s="422">
        <f t="shared" si="16"/>
        <v>0</v>
      </c>
      <c r="T25" s="194">
        <f t="shared" si="17"/>
        <v>27477</v>
      </c>
    </row>
    <row r="26" spans="2:20">
      <c r="B26" s="220" t="s">
        <v>179</v>
      </c>
      <c r="C26" s="425">
        <v>10</v>
      </c>
      <c r="D26" s="426">
        <v>20</v>
      </c>
      <c r="E26" s="426">
        <v>19</v>
      </c>
      <c r="F26" s="427"/>
      <c r="G26" s="194">
        <f t="shared" si="13"/>
        <v>49</v>
      </c>
      <c r="H26" s="3"/>
      <c r="I26" s="220" t="s">
        <v>179</v>
      </c>
      <c r="J26" s="425">
        <v>1.1331002957784351</v>
      </c>
      <c r="K26" s="425">
        <v>1.1331002957784351</v>
      </c>
      <c r="L26" s="425">
        <v>1.1331002957784351</v>
      </c>
      <c r="M26" s="425">
        <v>1.13310029577844</v>
      </c>
      <c r="O26" s="220" t="s">
        <v>179</v>
      </c>
      <c r="P26" s="422">
        <f t="shared" si="18"/>
        <v>11</v>
      </c>
      <c r="Q26" s="422">
        <f t="shared" si="14"/>
        <v>23</v>
      </c>
      <c r="R26" s="422">
        <f t="shared" si="15"/>
        <v>22</v>
      </c>
      <c r="S26" s="422">
        <f t="shared" si="16"/>
        <v>0</v>
      </c>
      <c r="T26" s="194">
        <f t="shared" si="17"/>
        <v>56</v>
      </c>
    </row>
    <row r="27" spans="2:20">
      <c r="B27" s="221"/>
      <c r="C27" s="603" t="s">
        <v>168</v>
      </c>
      <c r="D27" s="603"/>
      <c r="E27" s="603"/>
      <c r="F27" s="603"/>
      <c r="G27" s="185"/>
      <c r="H27" s="3"/>
      <c r="I27" s="221"/>
      <c r="J27" s="603" t="s">
        <v>168</v>
      </c>
      <c r="K27" s="603"/>
      <c r="L27" s="603"/>
      <c r="M27" s="603"/>
      <c r="O27" s="221"/>
      <c r="P27" s="603" t="s">
        <v>168</v>
      </c>
      <c r="Q27" s="603"/>
      <c r="R27" s="603"/>
      <c r="S27" s="603"/>
      <c r="T27" s="185"/>
    </row>
    <row r="28" spans="2:20">
      <c r="B28" s="219" t="s">
        <v>180</v>
      </c>
      <c r="C28" s="217" t="s">
        <v>170</v>
      </c>
      <c r="D28" s="217" t="s">
        <v>171</v>
      </c>
      <c r="E28" s="217" t="s">
        <v>172</v>
      </c>
      <c r="F28" s="217" t="s">
        <v>173</v>
      </c>
      <c r="G28" s="184" t="s">
        <v>98</v>
      </c>
      <c r="H28" s="3"/>
      <c r="I28" s="219" t="s">
        <v>180</v>
      </c>
      <c r="J28" s="217" t="s">
        <v>170</v>
      </c>
      <c r="K28" s="217" t="s">
        <v>171</v>
      </c>
      <c r="L28" s="217" t="s">
        <v>172</v>
      </c>
      <c r="M28" s="217" t="s">
        <v>173</v>
      </c>
      <c r="O28" s="219" t="s">
        <v>180</v>
      </c>
      <c r="P28" s="217" t="s">
        <v>170</v>
      </c>
      <c r="Q28" s="217" t="s">
        <v>171</v>
      </c>
      <c r="R28" s="217" t="s">
        <v>172</v>
      </c>
      <c r="S28" s="217" t="s">
        <v>173</v>
      </c>
      <c r="T28" s="184" t="s">
        <v>98</v>
      </c>
    </row>
    <row r="29" spans="2:20">
      <c r="B29" s="220" t="s">
        <v>174</v>
      </c>
      <c r="C29" s="422"/>
      <c r="D29" s="423"/>
      <c r="E29" s="423">
        <v>5</v>
      </c>
      <c r="F29" s="424"/>
      <c r="G29" s="194">
        <f t="shared" ref="G29:G34" si="19">SUM(C29:F29)</f>
        <v>5</v>
      </c>
      <c r="H29" s="3"/>
      <c r="I29" s="220" t="s">
        <v>174</v>
      </c>
      <c r="J29" s="422">
        <v>1.0878896269800715</v>
      </c>
      <c r="K29" s="423">
        <v>1.0878896269800715</v>
      </c>
      <c r="L29" s="423">
        <v>1.0878896269800715</v>
      </c>
      <c r="M29" s="424">
        <v>1.0878896269800715</v>
      </c>
      <c r="O29" s="220" t="s">
        <v>174</v>
      </c>
      <c r="P29" s="422">
        <f>ROUND(C29*J29,0)</f>
        <v>0</v>
      </c>
      <c r="Q29" s="422">
        <f t="shared" ref="Q29:Q34" si="20">ROUND(D29*K29,0)</f>
        <v>0</v>
      </c>
      <c r="R29" s="422">
        <f t="shared" ref="R29:R34" si="21">ROUND(E29*L29,0)</f>
        <v>5</v>
      </c>
      <c r="S29" s="422">
        <f t="shared" ref="S29:S34" si="22">ROUND(F29*M29,0)</f>
        <v>0</v>
      </c>
      <c r="T29" s="194">
        <f t="shared" ref="T29:T34" si="23">SUM(P29:S29)</f>
        <v>5</v>
      </c>
    </row>
    <row r="30" spans="2:20">
      <c r="B30" s="220" t="s">
        <v>175</v>
      </c>
      <c r="C30" s="425"/>
      <c r="D30" s="426"/>
      <c r="E30" s="426"/>
      <c r="F30" s="427"/>
      <c r="G30" s="194">
        <f t="shared" si="19"/>
        <v>0</v>
      </c>
      <c r="H30" s="3"/>
      <c r="I30" s="220" t="s">
        <v>175</v>
      </c>
      <c r="J30" s="425">
        <v>1.0012266928361138</v>
      </c>
      <c r="K30" s="425">
        <v>1.0012266928361138</v>
      </c>
      <c r="L30" s="425">
        <v>1.0012266928361138</v>
      </c>
      <c r="M30" s="425">
        <v>1.0012266928361138</v>
      </c>
      <c r="O30" s="220" t="s">
        <v>175</v>
      </c>
      <c r="P30" s="422">
        <f t="shared" ref="P30:P34" si="24">ROUND(C30*J30,0)</f>
        <v>0</v>
      </c>
      <c r="Q30" s="422">
        <f t="shared" si="20"/>
        <v>0</v>
      </c>
      <c r="R30" s="422">
        <f t="shared" si="21"/>
        <v>0</v>
      </c>
      <c r="S30" s="422">
        <f t="shared" si="22"/>
        <v>0</v>
      </c>
      <c r="T30" s="194">
        <f t="shared" si="23"/>
        <v>0</v>
      </c>
    </row>
    <row r="31" spans="2:20">
      <c r="B31" s="220" t="s">
        <v>176</v>
      </c>
      <c r="C31" s="425"/>
      <c r="D31" s="426"/>
      <c r="E31" s="426"/>
      <c r="F31" s="427"/>
      <c r="G31" s="194">
        <f t="shared" si="19"/>
        <v>0</v>
      </c>
      <c r="H31" s="3"/>
      <c r="I31" s="220" t="s">
        <v>176</v>
      </c>
      <c r="J31" s="425">
        <v>1.6164405555109578</v>
      </c>
      <c r="K31" s="425">
        <v>1.6164405555109578</v>
      </c>
      <c r="L31" s="425">
        <v>1.6164405555109578</v>
      </c>
      <c r="M31" s="425">
        <v>1.6164405555109578</v>
      </c>
      <c r="O31" s="220" t="s">
        <v>176</v>
      </c>
      <c r="P31" s="422">
        <f t="shared" si="24"/>
        <v>0</v>
      </c>
      <c r="Q31" s="422">
        <f t="shared" si="20"/>
        <v>0</v>
      </c>
      <c r="R31" s="422">
        <f t="shared" si="21"/>
        <v>0</v>
      </c>
      <c r="S31" s="422">
        <f t="shared" si="22"/>
        <v>0</v>
      </c>
      <c r="T31" s="194">
        <f t="shared" si="23"/>
        <v>0</v>
      </c>
    </row>
    <row r="32" spans="2:20">
      <c r="B32" s="220" t="s">
        <v>177</v>
      </c>
      <c r="C32" s="425">
        <v>49</v>
      </c>
      <c r="D32" s="426">
        <v>64</v>
      </c>
      <c r="E32" s="426">
        <v>47</v>
      </c>
      <c r="F32" s="427"/>
      <c r="G32" s="194">
        <f t="shared" si="19"/>
        <v>160</v>
      </c>
      <c r="H32" s="3"/>
      <c r="I32" s="220" t="s">
        <v>177</v>
      </c>
      <c r="J32" s="425">
        <v>1.0260812975570686</v>
      </c>
      <c r="K32" s="425">
        <v>1.0260812975570686</v>
      </c>
      <c r="L32" s="425">
        <v>1.0260812975570686</v>
      </c>
      <c r="M32" s="425">
        <v>1.0260812975570699</v>
      </c>
      <c r="O32" s="220" t="s">
        <v>177</v>
      </c>
      <c r="P32" s="422">
        <f t="shared" si="24"/>
        <v>50</v>
      </c>
      <c r="Q32" s="422">
        <f t="shared" si="20"/>
        <v>66</v>
      </c>
      <c r="R32" s="422">
        <f t="shared" si="21"/>
        <v>48</v>
      </c>
      <c r="S32" s="422">
        <f t="shared" si="22"/>
        <v>0</v>
      </c>
      <c r="T32" s="194">
        <f t="shared" si="23"/>
        <v>164</v>
      </c>
    </row>
    <row r="33" spans="2:20">
      <c r="B33" s="220" t="s">
        <v>178</v>
      </c>
      <c r="C33" s="425">
        <v>30</v>
      </c>
      <c r="D33" s="426">
        <v>109</v>
      </c>
      <c r="E33" s="426">
        <v>11</v>
      </c>
      <c r="F33" s="427"/>
      <c r="G33" s="194">
        <f t="shared" si="19"/>
        <v>150</v>
      </c>
      <c r="H33" s="3"/>
      <c r="I33" s="220" t="s">
        <v>178</v>
      </c>
      <c r="J33" s="425">
        <v>1.0391883351647413</v>
      </c>
      <c r="K33" s="425">
        <v>1.0391883351647413</v>
      </c>
      <c r="L33" s="425">
        <v>1.0391883351647413</v>
      </c>
      <c r="M33" s="425">
        <v>1.03918833516474</v>
      </c>
      <c r="O33" s="220" t="s">
        <v>178</v>
      </c>
      <c r="P33" s="422">
        <f t="shared" si="24"/>
        <v>31</v>
      </c>
      <c r="Q33" s="422">
        <f t="shared" si="20"/>
        <v>113</v>
      </c>
      <c r="R33" s="422">
        <f t="shared" si="21"/>
        <v>11</v>
      </c>
      <c r="S33" s="422">
        <f t="shared" si="22"/>
        <v>0</v>
      </c>
      <c r="T33" s="194">
        <f t="shared" si="23"/>
        <v>155</v>
      </c>
    </row>
    <row r="34" spans="2:20">
      <c r="B34" s="220" t="s">
        <v>179</v>
      </c>
      <c r="C34" s="425">
        <v>2</v>
      </c>
      <c r="D34" s="426"/>
      <c r="E34" s="426">
        <v>3</v>
      </c>
      <c r="F34" s="427"/>
      <c r="G34" s="194">
        <f t="shared" si="19"/>
        <v>5</v>
      </c>
      <c r="H34" s="3"/>
      <c r="I34" s="220" t="s">
        <v>179</v>
      </c>
      <c r="J34" s="425">
        <v>1.1331002957784351</v>
      </c>
      <c r="K34" s="425">
        <v>1.1331002957784351</v>
      </c>
      <c r="L34" s="425">
        <v>1.1331002957784351</v>
      </c>
      <c r="M34" s="425">
        <v>1.13310029577844</v>
      </c>
      <c r="O34" s="220" t="s">
        <v>179</v>
      </c>
      <c r="P34" s="422">
        <f t="shared" si="24"/>
        <v>2</v>
      </c>
      <c r="Q34" s="422">
        <f t="shared" si="20"/>
        <v>0</v>
      </c>
      <c r="R34" s="422">
        <f t="shared" si="21"/>
        <v>3</v>
      </c>
      <c r="S34" s="422">
        <f t="shared" si="22"/>
        <v>0</v>
      </c>
      <c r="T34" s="194">
        <f t="shared" si="23"/>
        <v>5</v>
      </c>
    </row>
    <row r="35" spans="2:20">
      <c r="B35" s="221"/>
      <c r="C35" s="603" t="s">
        <v>164</v>
      </c>
      <c r="D35" s="603"/>
      <c r="E35" s="603"/>
      <c r="F35" s="603"/>
      <c r="G35" s="185"/>
      <c r="H35" s="3"/>
      <c r="I35" s="221"/>
      <c r="J35" s="603" t="s">
        <v>164</v>
      </c>
      <c r="K35" s="603"/>
      <c r="L35" s="603"/>
      <c r="M35" s="603"/>
      <c r="O35" s="221"/>
      <c r="P35" s="603" t="s">
        <v>164</v>
      </c>
      <c r="Q35" s="603"/>
      <c r="R35" s="603"/>
      <c r="S35" s="603"/>
      <c r="T35" s="185"/>
    </row>
    <row r="36" spans="2:20">
      <c r="B36" s="219" t="s">
        <v>180</v>
      </c>
      <c r="C36" s="217" t="s">
        <v>170</v>
      </c>
      <c r="D36" s="217" t="s">
        <v>171</v>
      </c>
      <c r="E36" s="217" t="s">
        <v>172</v>
      </c>
      <c r="F36" s="217" t="s">
        <v>173</v>
      </c>
      <c r="G36" s="184" t="s">
        <v>98</v>
      </c>
      <c r="H36" s="3"/>
      <c r="I36" s="219" t="s">
        <v>180</v>
      </c>
      <c r="J36" s="217" t="s">
        <v>170</v>
      </c>
      <c r="K36" s="217" t="s">
        <v>171</v>
      </c>
      <c r="L36" s="217" t="s">
        <v>172</v>
      </c>
      <c r="M36" s="217" t="s">
        <v>173</v>
      </c>
      <c r="O36" s="219" t="s">
        <v>180</v>
      </c>
      <c r="P36" s="217" t="s">
        <v>170</v>
      </c>
      <c r="Q36" s="217" t="s">
        <v>171</v>
      </c>
      <c r="R36" s="217" t="s">
        <v>172</v>
      </c>
      <c r="S36" s="217" t="s">
        <v>173</v>
      </c>
      <c r="T36" s="184" t="s">
        <v>98</v>
      </c>
    </row>
    <row r="37" spans="2:20">
      <c r="B37" s="220" t="s">
        <v>174</v>
      </c>
      <c r="C37" s="422"/>
      <c r="D37" s="423"/>
      <c r="E37" s="423"/>
      <c r="F37" s="424"/>
      <c r="G37" s="194">
        <f t="shared" ref="G37:G42" si="25">SUM(C37:F37)</f>
        <v>0</v>
      </c>
      <c r="H37" s="3"/>
      <c r="I37" s="220" t="s">
        <v>174</v>
      </c>
      <c r="J37" s="422">
        <v>1.0878896269800715</v>
      </c>
      <c r="K37" s="423">
        <v>1.0878896269800715</v>
      </c>
      <c r="L37" s="423">
        <v>1.0878896269800715</v>
      </c>
      <c r="M37" s="424">
        <v>1.0878896269800715</v>
      </c>
      <c r="O37" s="220" t="s">
        <v>174</v>
      </c>
      <c r="P37" s="422">
        <f>ROUND(C37*J37,0)</f>
        <v>0</v>
      </c>
      <c r="Q37" s="422">
        <f t="shared" ref="Q37:Q42" si="26">ROUND(D37*K37,0)</f>
        <v>0</v>
      </c>
      <c r="R37" s="422">
        <f t="shared" ref="R37:R42" si="27">ROUND(E37*L37,0)</f>
        <v>0</v>
      </c>
      <c r="S37" s="422">
        <f t="shared" ref="S37:S42" si="28">ROUND(F37*M37,0)</f>
        <v>0</v>
      </c>
      <c r="T37" s="194">
        <f t="shared" ref="T37:T42" si="29">SUM(P37:S37)</f>
        <v>0</v>
      </c>
    </row>
    <row r="38" spans="2:20">
      <c r="B38" s="220" t="s">
        <v>175</v>
      </c>
      <c r="C38" s="425"/>
      <c r="D38" s="426"/>
      <c r="E38" s="426"/>
      <c r="F38" s="427"/>
      <c r="G38" s="194">
        <f t="shared" si="25"/>
        <v>0</v>
      </c>
      <c r="H38" s="3"/>
      <c r="I38" s="220" t="s">
        <v>175</v>
      </c>
      <c r="J38" s="425">
        <v>1.0012266928361138</v>
      </c>
      <c r="K38" s="425">
        <v>1.0012266928361138</v>
      </c>
      <c r="L38" s="425">
        <v>1.0012266928361138</v>
      </c>
      <c r="M38" s="425">
        <v>1.0012266928361138</v>
      </c>
      <c r="O38" s="220" t="s">
        <v>175</v>
      </c>
      <c r="P38" s="422">
        <f t="shared" ref="P38:P42" si="30">ROUND(C38*J38,0)</f>
        <v>0</v>
      </c>
      <c r="Q38" s="422">
        <f t="shared" si="26"/>
        <v>0</v>
      </c>
      <c r="R38" s="422">
        <f t="shared" si="27"/>
        <v>0</v>
      </c>
      <c r="S38" s="422">
        <f t="shared" si="28"/>
        <v>0</v>
      </c>
      <c r="T38" s="194">
        <f t="shared" si="29"/>
        <v>0</v>
      </c>
    </row>
    <row r="39" spans="2:20">
      <c r="B39" s="220" t="s">
        <v>176</v>
      </c>
      <c r="C39" s="425"/>
      <c r="D39" s="426"/>
      <c r="E39" s="426"/>
      <c r="F39" s="427"/>
      <c r="G39" s="194">
        <f t="shared" si="25"/>
        <v>0</v>
      </c>
      <c r="H39" s="3"/>
      <c r="I39" s="220" t="s">
        <v>176</v>
      </c>
      <c r="J39" s="425">
        <v>1.6164405555109578</v>
      </c>
      <c r="K39" s="425">
        <v>1.6164405555109578</v>
      </c>
      <c r="L39" s="425">
        <v>1.6164405555109578</v>
      </c>
      <c r="M39" s="425">
        <v>1.6164405555109578</v>
      </c>
      <c r="O39" s="220" t="s">
        <v>176</v>
      </c>
      <c r="P39" s="422">
        <f t="shared" si="30"/>
        <v>0</v>
      </c>
      <c r="Q39" s="422">
        <f t="shared" si="26"/>
        <v>0</v>
      </c>
      <c r="R39" s="422">
        <f t="shared" si="27"/>
        <v>0</v>
      </c>
      <c r="S39" s="422">
        <f t="shared" si="28"/>
        <v>0</v>
      </c>
      <c r="T39" s="194">
        <f t="shared" si="29"/>
        <v>0</v>
      </c>
    </row>
    <row r="40" spans="2:20">
      <c r="B40" s="220" t="s">
        <v>177</v>
      </c>
      <c r="C40" s="425"/>
      <c r="D40" s="426"/>
      <c r="E40" s="426"/>
      <c r="F40" s="427"/>
      <c r="G40" s="194">
        <f t="shared" si="25"/>
        <v>0</v>
      </c>
      <c r="H40" s="3"/>
      <c r="I40" s="220" t="s">
        <v>177</v>
      </c>
      <c r="J40" s="425">
        <v>1.0260812975570686</v>
      </c>
      <c r="K40" s="425">
        <v>1.0260812975570686</v>
      </c>
      <c r="L40" s="425">
        <v>1.0260812975570686</v>
      </c>
      <c r="M40" s="425">
        <v>1.0260812975570699</v>
      </c>
      <c r="O40" s="220" t="s">
        <v>177</v>
      </c>
      <c r="P40" s="422">
        <f t="shared" si="30"/>
        <v>0</v>
      </c>
      <c r="Q40" s="422">
        <f t="shared" si="26"/>
        <v>0</v>
      </c>
      <c r="R40" s="422">
        <f t="shared" si="27"/>
        <v>0</v>
      </c>
      <c r="S40" s="422">
        <f t="shared" si="28"/>
        <v>0</v>
      </c>
      <c r="T40" s="194">
        <f t="shared" si="29"/>
        <v>0</v>
      </c>
    </row>
    <row r="41" spans="2:20">
      <c r="B41" s="220" t="s">
        <v>178</v>
      </c>
      <c r="C41" s="425"/>
      <c r="D41" s="426">
        <v>1</v>
      </c>
      <c r="E41" s="426"/>
      <c r="F41" s="427"/>
      <c r="G41" s="194">
        <f t="shared" si="25"/>
        <v>1</v>
      </c>
      <c r="H41" s="3"/>
      <c r="I41" s="220" t="s">
        <v>178</v>
      </c>
      <c r="J41" s="425">
        <v>1.0391883351647413</v>
      </c>
      <c r="K41" s="425">
        <v>1.0391883351647413</v>
      </c>
      <c r="L41" s="425">
        <v>1.0391883351647413</v>
      </c>
      <c r="M41" s="425">
        <v>1.03918833516474</v>
      </c>
      <c r="O41" s="220" t="s">
        <v>178</v>
      </c>
      <c r="P41" s="422">
        <f t="shared" si="30"/>
        <v>0</v>
      </c>
      <c r="Q41" s="422">
        <f t="shared" si="26"/>
        <v>1</v>
      </c>
      <c r="R41" s="422">
        <f t="shared" si="27"/>
        <v>0</v>
      </c>
      <c r="S41" s="422">
        <f t="shared" si="28"/>
        <v>0</v>
      </c>
      <c r="T41" s="194">
        <f t="shared" si="29"/>
        <v>1</v>
      </c>
    </row>
    <row r="42" spans="2:20">
      <c r="B42" s="220" t="s">
        <v>179</v>
      </c>
      <c r="C42" s="425"/>
      <c r="D42" s="426"/>
      <c r="E42" s="426"/>
      <c r="F42" s="427"/>
      <c r="G42" s="194">
        <f t="shared" si="25"/>
        <v>0</v>
      </c>
      <c r="H42" s="3"/>
      <c r="I42" s="220" t="s">
        <v>179</v>
      </c>
      <c r="J42" s="425">
        <v>1.1331002957784351</v>
      </c>
      <c r="K42" s="425">
        <v>1.1331002957784351</v>
      </c>
      <c r="L42" s="425">
        <v>1.1331002957784351</v>
      </c>
      <c r="M42" s="425">
        <v>1.13310029577844</v>
      </c>
      <c r="O42" s="220" t="s">
        <v>179</v>
      </c>
      <c r="P42" s="422">
        <f t="shared" si="30"/>
        <v>0</v>
      </c>
      <c r="Q42" s="422">
        <f t="shared" si="26"/>
        <v>0</v>
      </c>
      <c r="R42" s="422">
        <f t="shared" si="27"/>
        <v>0</v>
      </c>
      <c r="S42" s="422">
        <f t="shared" si="28"/>
        <v>0</v>
      </c>
      <c r="T42" s="194">
        <f t="shared" si="29"/>
        <v>0</v>
      </c>
    </row>
    <row r="43" spans="2:20">
      <c r="B43" s="221"/>
      <c r="C43" s="603" t="s">
        <v>166</v>
      </c>
      <c r="D43" s="603"/>
      <c r="E43" s="603"/>
      <c r="F43" s="603"/>
      <c r="G43" s="185"/>
      <c r="H43" s="3"/>
      <c r="I43" s="221"/>
      <c r="J43" s="603" t="s">
        <v>166</v>
      </c>
      <c r="K43" s="603"/>
      <c r="L43" s="603"/>
      <c r="M43" s="603"/>
      <c r="O43" s="221"/>
      <c r="P43" s="603" t="s">
        <v>166</v>
      </c>
      <c r="Q43" s="603"/>
      <c r="R43" s="603"/>
      <c r="S43" s="603"/>
      <c r="T43" s="185"/>
    </row>
    <row r="44" spans="2:20">
      <c r="B44" s="219" t="s">
        <v>180</v>
      </c>
      <c r="C44" s="217" t="s">
        <v>170</v>
      </c>
      <c r="D44" s="217" t="s">
        <v>171</v>
      </c>
      <c r="E44" s="217" t="s">
        <v>172</v>
      </c>
      <c r="F44" s="217" t="s">
        <v>173</v>
      </c>
      <c r="G44" s="184" t="s">
        <v>98</v>
      </c>
      <c r="H44" s="3"/>
      <c r="I44" s="219" t="s">
        <v>180</v>
      </c>
      <c r="J44" s="217" t="s">
        <v>170</v>
      </c>
      <c r="K44" s="217" t="s">
        <v>171</v>
      </c>
      <c r="L44" s="217" t="s">
        <v>172</v>
      </c>
      <c r="M44" s="217" t="s">
        <v>173</v>
      </c>
      <c r="O44" s="219" t="s">
        <v>180</v>
      </c>
      <c r="P44" s="217" t="s">
        <v>170</v>
      </c>
      <c r="Q44" s="217" t="s">
        <v>171</v>
      </c>
      <c r="R44" s="217" t="s">
        <v>172</v>
      </c>
      <c r="S44" s="217" t="s">
        <v>173</v>
      </c>
      <c r="T44" s="184" t="s">
        <v>98</v>
      </c>
    </row>
    <row r="45" spans="2:20">
      <c r="B45" s="220" t="s">
        <v>174</v>
      </c>
      <c r="C45" s="422"/>
      <c r="D45" s="423"/>
      <c r="E45" s="423"/>
      <c r="F45" s="424"/>
      <c r="G45" s="194">
        <f t="shared" ref="G45:G50" si="31">SUM(C45:F45)</f>
        <v>0</v>
      </c>
      <c r="H45" s="3"/>
      <c r="I45" s="220" t="s">
        <v>174</v>
      </c>
      <c r="J45" s="422">
        <v>1.0878896269800715</v>
      </c>
      <c r="K45" s="423">
        <v>1.0878896269800715</v>
      </c>
      <c r="L45" s="423">
        <v>1.0878896269800715</v>
      </c>
      <c r="M45" s="424">
        <v>1.0878896269800715</v>
      </c>
      <c r="O45" s="220" t="s">
        <v>174</v>
      </c>
      <c r="P45" s="422">
        <f>ROUND(C45*J45,0)</f>
        <v>0</v>
      </c>
      <c r="Q45" s="422">
        <f t="shared" ref="Q45:Q50" si="32">ROUND(D45*K45,0)</f>
        <v>0</v>
      </c>
      <c r="R45" s="422">
        <f t="shared" ref="R45:R50" si="33">ROUND(E45*L45,0)</f>
        <v>0</v>
      </c>
      <c r="S45" s="422">
        <f t="shared" ref="S45:S50" si="34">ROUND(F45*M45,0)</f>
        <v>0</v>
      </c>
      <c r="T45" s="194">
        <f t="shared" ref="T45:T50" si="35">SUM(P45:S45)</f>
        <v>0</v>
      </c>
    </row>
    <row r="46" spans="2:20">
      <c r="B46" s="220" t="s">
        <v>175</v>
      </c>
      <c r="C46" s="425"/>
      <c r="D46" s="426"/>
      <c r="E46" s="426"/>
      <c r="F46" s="427"/>
      <c r="G46" s="194">
        <f t="shared" si="31"/>
        <v>0</v>
      </c>
      <c r="H46" s="3"/>
      <c r="I46" s="220" t="s">
        <v>175</v>
      </c>
      <c r="J46" s="425">
        <v>1.0012266928361138</v>
      </c>
      <c r="K46" s="425">
        <v>1.0012266928361138</v>
      </c>
      <c r="L46" s="425">
        <v>1.0012266928361138</v>
      </c>
      <c r="M46" s="425">
        <v>1.0012266928361138</v>
      </c>
      <c r="O46" s="220" t="s">
        <v>175</v>
      </c>
      <c r="P46" s="422">
        <f t="shared" ref="P46:P50" si="36">ROUND(C46*J46,0)</f>
        <v>0</v>
      </c>
      <c r="Q46" s="422">
        <f t="shared" si="32"/>
        <v>0</v>
      </c>
      <c r="R46" s="422">
        <f t="shared" si="33"/>
        <v>0</v>
      </c>
      <c r="S46" s="422">
        <f t="shared" si="34"/>
        <v>0</v>
      </c>
      <c r="T46" s="194">
        <f t="shared" si="35"/>
        <v>0</v>
      </c>
    </row>
    <row r="47" spans="2:20">
      <c r="B47" s="220" t="s">
        <v>176</v>
      </c>
      <c r="C47" s="425"/>
      <c r="D47" s="426"/>
      <c r="E47" s="426"/>
      <c r="F47" s="427"/>
      <c r="G47" s="194">
        <f t="shared" si="31"/>
        <v>0</v>
      </c>
      <c r="H47" s="3"/>
      <c r="I47" s="220" t="s">
        <v>176</v>
      </c>
      <c r="J47" s="425">
        <v>1.6164405555109578</v>
      </c>
      <c r="K47" s="425">
        <v>1.6164405555109578</v>
      </c>
      <c r="L47" s="425">
        <v>1.6164405555109578</v>
      </c>
      <c r="M47" s="425">
        <v>1.6164405555109578</v>
      </c>
      <c r="O47" s="220" t="s">
        <v>176</v>
      </c>
      <c r="P47" s="422">
        <f t="shared" si="36"/>
        <v>0</v>
      </c>
      <c r="Q47" s="422">
        <f t="shared" si="32"/>
        <v>0</v>
      </c>
      <c r="R47" s="422">
        <f t="shared" si="33"/>
        <v>0</v>
      </c>
      <c r="S47" s="422">
        <f t="shared" si="34"/>
        <v>0</v>
      </c>
      <c r="T47" s="194">
        <f t="shared" si="35"/>
        <v>0</v>
      </c>
    </row>
    <row r="48" spans="2:20">
      <c r="B48" s="220" t="s">
        <v>177</v>
      </c>
      <c r="C48" s="425"/>
      <c r="D48" s="426"/>
      <c r="E48" s="426"/>
      <c r="F48" s="427"/>
      <c r="G48" s="194">
        <f t="shared" si="31"/>
        <v>0</v>
      </c>
      <c r="H48" s="3"/>
      <c r="I48" s="220" t="s">
        <v>177</v>
      </c>
      <c r="J48" s="425">
        <v>1.0260812975570686</v>
      </c>
      <c r="K48" s="425">
        <v>1.0260812975570686</v>
      </c>
      <c r="L48" s="425">
        <v>1.0260812975570686</v>
      </c>
      <c r="M48" s="425">
        <v>1.0260812975570699</v>
      </c>
      <c r="O48" s="220" t="s">
        <v>177</v>
      </c>
      <c r="P48" s="422">
        <f t="shared" si="36"/>
        <v>0</v>
      </c>
      <c r="Q48" s="422">
        <f t="shared" si="32"/>
        <v>0</v>
      </c>
      <c r="R48" s="422">
        <f t="shared" si="33"/>
        <v>0</v>
      </c>
      <c r="S48" s="422">
        <f t="shared" si="34"/>
        <v>0</v>
      </c>
      <c r="T48" s="194">
        <f t="shared" si="35"/>
        <v>0</v>
      </c>
    </row>
    <row r="49" spans="2:20">
      <c r="B49" s="220" t="s">
        <v>178</v>
      </c>
      <c r="C49" s="425"/>
      <c r="D49" s="426">
        <v>3</v>
      </c>
      <c r="E49" s="426"/>
      <c r="F49" s="427"/>
      <c r="G49" s="194">
        <f t="shared" si="31"/>
        <v>3</v>
      </c>
      <c r="H49" s="3"/>
      <c r="I49" s="220" t="s">
        <v>178</v>
      </c>
      <c r="J49" s="425">
        <v>1.0391883351647413</v>
      </c>
      <c r="K49" s="425">
        <v>1.0391883351647413</v>
      </c>
      <c r="L49" s="425">
        <v>1.0391883351647413</v>
      </c>
      <c r="M49" s="425">
        <v>1.03918833516474</v>
      </c>
      <c r="O49" s="220" t="s">
        <v>178</v>
      </c>
      <c r="P49" s="422">
        <f t="shared" si="36"/>
        <v>0</v>
      </c>
      <c r="Q49" s="422">
        <f t="shared" si="32"/>
        <v>3</v>
      </c>
      <c r="R49" s="422">
        <f t="shared" si="33"/>
        <v>0</v>
      </c>
      <c r="S49" s="422">
        <f t="shared" si="34"/>
        <v>0</v>
      </c>
      <c r="T49" s="194">
        <f t="shared" si="35"/>
        <v>3</v>
      </c>
    </row>
    <row r="50" spans="2:20">
      <c r="B50" s="220" t="s">
        <v>179</v>
      </c>
      <c r="C50" s="425"/>
      <c r="D50" s="426"/>
      <c r="E50" s="426"/>
      <c r="F50" s="427"/>
      <c r="G50" s="194">
        <f t="shared" si="31"/>
        <v>0</v>
      </c>
      <c r="H50" s="3"/>
      <c r="I50" s="220" t="s">
        <v>179</v>
      </c>
      <c r="J50" s="425">
        <v>1.1331002957784351</v>
      </c>
      <c r="K50" s="425">
        <v>1.1331002957784351</v>
      </c>
      <c r="L50" s="425">
        <v>1.1331002957784351</v>
      </c>
      <c r="M50" s="425">
        <v>1.13310029577844</v>
      </c>
      <c r="O50" s="220" t="s">
        <v>179</v>
      </c>
      <c r="P50" s="422">
        <f t="shared" si="36"/>
        <v>0</v>
      </c>
      <c r="Q50" s="422">
        <f t="shared" si="32"/>
        <v>0</v>
      </c>
      <c r="R50" s="422">
        <f t="shared" si="33"/>
        <v>0</v>
      </c>
      <c r="S50" s="422">
        <f t="shared" si="34"/>
        <v>0</v>
      </c>
      <c r="T50" s="194">
        <f t="shared" si="35"/>
        <v>0</v>
      </c>
    </row>
    <row r="51" spans="2:20">
      <c r="B51" s="221"/>
      <c r="C51" s="603" t="s">
        <v>165</v>
      </c>
      <c r="D51" s="603"/>
      <c r="E51" s="603"/>
      <c r="F51" s="603"/>
      <c r="G51" s="185"/>
      <c r="H51" s="3"/>
      <c r="I51" s="221"/>
      <c r="J51" s="603" t="s">
        <v>165</v>
      </c>
      <c r="K51" s="603"/>
      <c r="L51" s="603"/>
      <c r="M51" s="603"/>
      <c r="O51" s="221"/>
      <c r="P51" s="603" t="s">
        <v>165</v>
      </c>
      <c r="Q51" s="603"/>
      <c r="R51" s="603"/>
      <c r="S51" s="603"/>
      <c r="T51" s="185"/>
    </row>
    <row r="52" spans="2:20">
      <c r="B52" s="219" t="s">
        <v>180</v>
      </c>
      <c r="C52" s="217" t="s">
        <v>170</v>
      </c>
      <c r="D52" s="217" t="s">
        <v>171</v>
      </c>
      <c r="E52" s="217" t="s">
        <v>172</v>
      </c>
      <c r="F52" s="217" t="s">
        <v>173</v>
      </c>
      <c r="G52" s="184" t="s">
        <v>98</v>
      </c>
      <c r="H52" s="3"/>
      <c r="I52" s="219" t="s">
        <v>180</v>
      </c>
      <c r="J52" s="217" t="s">
        <v>170</v>
      </c>
      <c r="K52" s="217" t="s">
        <v>171</v>
      </c>
      <c r="L52" s="217" t="s">
        <v>172</v>
      </c>
      <c r="M52" s="217" t="s">
        <v>173</v>
      </c>
      <c r="O52" s="219" t="s">
        <v>180</v>
      </c>
      <c r="P52" s="217" t="s">
        <v>170</v>
      </c>
      <c r="Q52" s="217" t="s">
        <v>171</v>
      </c>
      <c r="R52" s="217" t="s">
        <v>172</v>
      </c>
      <c r="S52" s="217" t="s">
        <v>173</v>
      </c>
      <c r="T52" s="184" t="s">
        <v>98</v>
      </c>
    </row>
    <row r="53" spans="2:20">
      <c r="B53" s="220" t="s">
        <v>174</v>
      </c>
      <c r="C53" s="422"/>
      <c r="D53" s="423"/>
      <c r="E53" s="423"/>
      <c r="F53" s="424"/>
      <c r="G53" s="194">
        <f t="shared" ref="G53:G58" si="37">SUM(C53:F53)</f>
        <v>0</v>
      </c>
      <c r="H53" s="3"/>
      <c r="I53" s="220" t="s">
        <v>174</v>
      </c>
      <c r="J53" s="422">
        <v>1.0878896269800715</v>
      </c>
      <c r="K53" s="423">
        <v>1.0878896269800715</v>
      </c>
      <c r="L53" s="423">
        <v>1.0878896269800715</v>
      </c>
      <c r="M53" s="424">
        <v>1.0878896269800715</v>
      </c>
      <c r="O53" s="220" t="s">
        <v>174</v>
      </c>
      <c r="P53" s="422"/>
      <c r="Q53" s="423"/>
      <c r="R53" s="423"/>
      <c r="S53" s="424"/>
      <c r="T53" s="194">
        <f t="shared" ref="T53:T58" si="38">SUM(P53:S53)</f>
        <v>0</v>
      </c>
    </row>
    <row r="54" spans="2:20">
      <c r="B54" s="220" t="s">
        <v>175</v>
      </c>
      <c r="C54" s="425"/>
      <c r="D54" s="426"/>
      <c r="E54" s="426"/>
      <c r="F54" s="427"/>
      <c r="G54" s="194">
        <f t="shared" si="37"/>
        <v>0</v>
      </c>
      <c r="H54" s="3"/>
      <c r="I54" s="220" t="s">
        <v>175</v>
      </c>
      <c r="J54" s="425">
        <v>1.0012266928361138</v>
      </c>
      <c r="K54" s="425">
        <v>1.0012266928361138</v>
      </c>
      <c r="L54" s="425">
        <v>1.0012266928361138</v>
      </c>
      <c r="M54" s="425">
        <v>1.0012266928361138</v>
      </c>
      <c r="O54" s="220" t="s">
        <v>175</v>
      </c>
      <c r="P54" s="425"/>
      <c r="Q54" s="426"/>
      <c r="R54" s="426"/>
      <c r="S54" s="427"/>
      <c r="T54" s="194">
        <f t="shared" si="38"/>
        <v>0</v>
      </c>
    </row>
    <row r="55" spans="2:20">
      <c r="B55" s="220" t="s">
        <v>176</v>
      </c>
      <c r="C55" s="425"/>
      <c r="D55" s="426"/>
      <c r="E55" s="426"/>
      <c r="F55" s="427"/>
      <c r="G55" s="194">
        <f t="shared" si="37"/>
        <v>0</v>
      </c>
      <c r="H55" s="3"/>
      <c r="I55" s="220" t="s">
        <v>176</v>
      </c>
      <c r="J55" s="425">
        <v>1.6164405555109578</v>
      </c>
      <c r="K55" s="425">
        <v>1.6164405555109578</v>
      </c>
      <c r="L55" s="425">
        <v>1.6164405555109578</v>
      </c>
      <c r="M55" s="425">
        <v>1.6164405555109578</v>
      </c>
      <c r="O55" s="220" t="s">
        <v>176</v>
      </c>
      <c r="P55" s="425"/>
      <c r="Q55" s="426"/>
      <c r="R55" s="426"/>
      <c r="S55" s="427"/>
      <c r="T55" s="194">
        <f t="shared" si="38"/>
        <v>0</v>
      </c>
    </row>
    <row r="56" spans="2:20">
      <c r="B56" s="220" t="s">
        <v>177</v>
      </c>
      <c r="C56" s="425"/>
      <c r="D56" s="426"/>
      <c r="E56" s="426"/>
      <c r="F56" s="427"/>
      <c r="G56" s="194">
        <f t="shared" si="37"/>
        <v>0</v>
      </c>
      <c r="H56" s="3"/>
      <c r="I56" s="220" t="s">
        <v>177</v>
      </c>
      <c r="J56" s="425">
        <v>1.0260812975570686</v>
      </c>
      <c r="K56" s="425">
        <v>1.0260812975570686</v>
      </c>
      <c r="L56" s="425">
        <v>1.0260812975570686</v>
      </c>
      <c r="M56" s="425">
        <v>1.0260812975570699</v>
      </c>
      <c r="O56" s="220" t="s">
        <v>177</v>
      </c>
      <c r="P56" s="425"/>
      <c r="Q56" s="426"/>
      <c r="R56" s="426"/>
      <c r="S56" s="427"/>
      <c r="T56" s="194">
        <f t="shared" si="38"/>
        <v>0</v>
      </c>
    </row>
    <row r="57" spans="2:20">
      <c r="B57" s="220" t="s">
        <v>178</v>
      </c>
      <c r="C57" s="425"/>
      <c r="D57" s="426"/>
      <c r="E57" s="426"/>
      <c r="F57" s="427"/>
      <c r="G57" s="194">
        <f t="shared" si="37"/>
        <v>0</v>
      </c>
      <c r="H57" s="3"/>
      <c r="I57" s="220" t="s">
        <v>178</v>
      </c>
      <c r="J57" s="425">
        <v>1.0391883351647413</v>
      </c>
      <c r="K57" s="425">
        <v>1.0391883351647413</v>
      </c>
      <c r="L57" s="425">
        <v>1.0391883351647413</v>
      </c>
      <c r="M57" s="425">
        <v>1.03918833516474</v>
      </c>
      <c r="O57" s="220" t="s">
        <v>178</v>
      </c>
      <c r="P57" s="425">
        <v>223</v>
      </c>
      <c r="Q57" s="426"/>
      <c r="R57" s="426"/>
      <c r="S57" s="427"/>
      <c r="T57" s="194">
        <f t="shared" si="38"/>
        <v>223</v>
      </c>
    </row>
    <row r="58" spans="2:20" ht="15.75" thickBot="1">
      <c r="B58" s="222" t="s">
        <v>179</v>
      </c>
      <c r="C58" s="428"/>
      <c r="D58" s="429"/>
      <c r="E58" s="429"/>
      <c r="F58" s="430"/>
      <c r="G58" s="195">
        <f t="shared" si="37"/>
        <v>0</v>
      </c>
      <c r="H58" s="3"/>
      <c r="I58" s="222" t="s">
        <v>179</v>
      </c>
      <c r="J58" s="425">
        <v>1.1331002957784351</v>
      </c>
      <c r="K58" s="425">
        <v>1.1331002957784351</v>
      </c>
      <c r="L58" s="425">
        <v>1.1331002957784351</v>
      </c>
      <c r="M58" s="425">
        <v>1.13310029577844</v>
      </c>
      <c r="O58" s="222" t="s">
        <v>179</v>
      </c>
      <c r="P58" s="428"/>
      <c r="Q58" s="429"/>
      <c r="R58" s="429"/>
      <c r="S58" s="430"/>
      <c r="T58" s="195">
        <f t="shared" si="38"/>
        <v>0</v>
      </c>
    </row>
    <row r="59" spans="2:20">
      <c r="B59" s="214"/>
      <c r="C59" s="215"/>
      <c r="D59" s="215"/>
      <c r="E59" s="215"/>
      <c r="F59" s="215"/>
      <c r="G59" s="215"/>
      <c r="H59" s="3"/>
    </row>
    <row r="60" spans="2:20">
      <c r="B60" s="6" t="s">
        <v>339</v>
      </c>
      <c r="C60" s="3"/>
      <c r="D60" s="3"/>
      <c r="E60" s="3"/>
      <c r="F60" s="3"/>
      <c r="G60" s="3"/>
      <c r="H60" s="3"/>
    </row>
    <row r="61" spans="2:20">
      <c r="B61" s="3"/>
      <c r="C61" s="62">
        <v>2013</v>
      </c>
      <c r="D61" s="62">
        <v>2014</v>
      </c>
      <c r="E61" s="62" t="s">
        <v>335</v>
      </c>
      <c r="F61" s="3"/>
      <c r="G61" s="3"/>
      <c r="H61" s="3"/>
    </row>
    <row r="62" spans="2:20">
      <c r="B62" s="434" t="s">
        <v>174</v>
      </c>
      <c r="C62" s="62">
        <v>1957</v>
      </c>
      <c r="D62" s="62">
        <v>2129</v>
      </c>
      <c r="E62" s="435">
        <f>D62/C62</f>
        <v>1.0878896269800715</v>
      </c>
      <c r="F62" s="3"/>
      <c r="G62" s="3"/>
      <c r="H62" s="3"/>
    </row>
    <row r="63" spans="2:20">
      <c r="B63" s="434" t="s">
        <v>175</v>
      </c>
      <c r="C63" s="62">
        <v>4076</v>
      </c>
      <c r="D63" s="62">
        <v>4081</v>
      </c>
      <c r="E63" s="435">
        <f t="shared" ref="E63:E67" si="39">D63/C63</f>
        <v>1.0012266928361138</v>
      </c>
      <c r="F63" s="3"/>
      <c r="G63" s="3"/>
      <c r="H63" s="3"/>
    </row>
    <row r="64" spans="2:20">
      <c r="B64" s="434" t="s">
        <v>176</v>
      </c>
      <c r="C64" s="62">
        <v>12457</v>
      </c>
      <c r="D64" s="62">
        <f>13319+6817</f>
        <v>20136</v>
      </c>
      <c r="E64" s="435">
        <f t="shared" si="39"/>
        <v>1.6164405555109578</v>
      </c>
      <c r="F64" s="3"/>
      <c r="G64" s="3"/>
      <c r="H64" s="3"/>
    </row>
    <row r="65" spans="2:8">
      <c r="B65" s="434" t="s">
        <v>177</v>
      </c>
      <c r="C65" s="62">
        <v>59928</v>
      </c>
      <c r="D65" s="62">
        <v>61491</v>
      </c>
      <c r="E65" s="435">
        <f t="shared" si="39"/>
        <v>1.0260812975570686</v>
      </c>
      <c r="F65" s="3"/>
      <c r="G65" s="3"/>
      <c r="H65" s="3"/>
    </row>
    <row r="66" spans="2:8">
      <c r="B66" s="434" t="s">
        <v>178</v>
      </c>
      <c r="C66" s="62">
        <v>351278</v>
      </c>
      <c r="D66" s="62">
        <v>365044</v>
      </c>
      <c r="E66" s="435">
        <f t="shared" si="39"/>
        <v>1.0391883351647413</v>
      </c>
      <c r="F66" s="3"/>
      <c r="G66" s="3"/>
      <c r="H66" s="3"/>
    </row>
    <row r="67" spans="2:8">
      <c r="B67" s="434" t="s">
        <v>179</v>
      </c>
      <c r="C67" s="62">
        <v>3719</v>
      </c>
      <c r="D67" s="62">
        <f>3836+378</f>
        <v>4214</v>
      </c>
      <c r="E67" s="435">
        <f t="shared" si="39"/>
        <v>1.1331002957784351</v>
      </c>
      <c r="F67" s="3"/>
      <c r="G67" s="3"/>
      <c r="H67" s="3"/>
    </row>
  </sheetData>
  <mergeCells count="24">
    <mergeCell ref="C43:F43"/>
    <mergeCell ref="C51:F51"/>
    <mergeCell ref="I2:M2"/>
    <mergeCell ref="J3:M3"/>
    <mergeCell ref="J11:M11"/>
    <mergeCell ref="J19:L19"/>
    <mergeCell ref="J27:M27"/>
    <mergeCell ref="B2:G2"/>
    <mergeCell ref="C3:F3"/>
    <mergeCell ref="C11:F11"/>
    <mergeCell ref="C19:E19"/>
    <mergeCell ref="C27:F27"/>
    <mergeCell ref="C35:F35"/>
    <mergeCell ref="P51:S51"/>
    <mergeCell ref="J35:M35"/>
    <mergeCell ref="J43:M43"/>
    <mergeCell ref="J51:M51"/>
    <mergeCell ref="O2:T2"/>
    <mergeCell ref="P3:S3"/>
    <mergeCell ref="P11:S11"/>
    <mergeCell ref="P19:R19"/>
    <mergeCell ref="P27:S27"/>
    <mergeCell ref="P35:S35"/>
    <mergeCell ref="P43:S4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H17"/>
  <sheetViews>
    <sheetView workbookViewId="0">
      <selection activeCell="G11" sqref="G11"/>
    </sheetView>
  </sheetViews>
  <sheetFormatPr defaultColWidth="9.140625" defaultRowHeight="15"/>
  <cols>
    <col min="1" max="16384" width="9.140625" style="231"/>
  </cols>
  <sheetData>
    <row r="2" spans="2:8">
      <c r="G2" s="469"/>
    </row>
    <row r="4" spans="2:8">
      <c r="B4" s="470" t="s">
        <v>341</v>
      </c>
      <c r="G4" s="231">
        <f>SUM(G5:G13)</f>
        <v>128542</v>
      </c>
      <c r="H4" s="231" t="s">
        <v>88</v>
      </c>
    </row>
    <row r="5" spans="2:8">
      <c r="B5" s="470" t="s">
        <v>342</v>
      </c>
    </row>
    <row r="6" spans="2:8">
      <c r="B6" s="231" t="s">
        <v>343</v>
      </c>
      <c r="G6" s="231">
        <f>26331</f>
        <v>26331</v>
      </c>
      <c r="H6" s="231" t="s">
        <v>88</v>
      </c>
    </row>
    <row r="7" spans="2:8">
      <c r="B7" s="231" t="s">
        <v>344</v>
      </c>
      <c r="G7" s="231">
        <f>3376+24887</f>
        <v>28263</v>
      </c>
      <c r="H7" s="231" t="s">
        <v>88</v>
      </c>
    </row>
    <row r="8" spans="2:8">
      <c r="B8" s="231" t="s">
        <v>345</v>
      </c>
      <c r="G8" s="231">
        <v>788</v>
      </c>
      <c r="H8" s="231" t="s">
        <v>88</v>
      </c>
    </row>
    <row r="10" spans="2:8">
      <c r="B10" s="470" t="s">
        <v>342</v>
      </c>
    </row>
    <row r="11" spans="2:8">
      <c r="B11" s="231" t="s">
        <v>344</v>
      </c>
      <c r="G11" s="471">
        <f>ROUND((24546+219908)/3.6,0)</f>
        <v>67904</v>
      </c>
      <c r="H11" s="231" t="s">
        <v>88</v>
      </c>
    </row>
    <row r="12" spans="2:8">
      <c r="B12" s="231" t="s">
        <v>345</v>
      </c>
      <c r="G12" s="231">
        <v>5256</v>
      </c>
      <c r="H12" s="231" t="s">
        <v>88</v>
      </c>
    </row>
    <row r="15" spans="2:8">
      <c r="B15" s="231" t="s">
        <v>351</v>
      </c>
    </row>
    <row r="16" spans="2:8">
      <c r="B16" s="231">
        <f>0.5*105%</f>
        <v>0.52500000000000002</v>
      </c>
      <c r="C16" s="231" t="s">
        <v>346</v>
      </c>
      <c r="D16" s="231">
        <f>B16*(365*24*0.6)*0.3</f>
        <v>827.82</v>
      </c>
      <c r="E16" s="231" t="s">
        <v>88</v>
      </c>
      <c r="F16" s="231" t="s">
        <v>347</v>
      </c>
      <c r="G16" s="231" t="s">
        <v>348</v>
      </c>
    </row>
    <row r="17" spans="2:7">
      <c r="B17" s="231">
        <f>1.5*105%</f>
        <v>1.5750000000000002</v>
      </c>
      <c r="C17" s="231" t="s">
        <v>346</v>
      </c>
      <c r="D17" s="231">
        <f>B17*365*24*0.4</f>
        <v>5518.800000000002</v>
      </c>
      <c r="E17" s="231" t="s">
        <v>88</v>
      </c>
      <c r="F17" s="231" t="s">
        <v>349</v>
      </c>
      <c r="G17" s="231" t="s">
        <v>350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D500356D47F244AD3166675464837A" ma:contentTypeVersion="3" ma:contentTypeDescription="Utwórz nowy dokument." ma:contentTypeScope="" ma:versionID="3836ab80cbd0d607fd4ab083c1a51a76">
  <xsd:schema xmlns:xsd="http://www.w3.org/2001/XMLSchema" xmlns:xs="http://www.w3.org/2001/XMLSchema" xmlns:p="http://schemas.microsoft.com/office/2006/metadata/properties" xmlns:ns2="b9317516-fb96-4786-b592-56ea2e49ee51" xmlns:ns3="f481ac27-dfc7-4634-a0ae-1eb35b24cd2a" xmlns:ns4="77226e7c-1abe-4306-8039-ffe3b620ce66" targetNamespace="http://schemas.microsoft.com/office/2006/metadata/properties" ma:root="true" ma:fieldsID="ede7aa827ada050e897cf6db6337f2d3" ns2:_="" ns3:_="" ns4:_="">
    <xsd:import namespace="b9317516-fb96-4786-b592-56ea2e49ee51"/>
    <xsd:import namespace="f481ac27-dfc7-4634-a0ae-1eb35b24cd2a"/>
    <xsd:import namespace="77226e7c-1abe-4306-8039-ffe3b620ce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17516-fb96-4786-b592-56ea2e49ee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1ac27-dfc7-4634-a0ae-1eb35b24cd2a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krót wskazówki dotyczącej udostępniania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26e7c-1abe-4306-8039-ffe3b620ce66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45069A-89BC-45CE-B698-E8BC9B546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17516-fb96-4786-b592-56ea2e49ee51"/>
    <ds:schemaRef ds:uri="f481ac27-dfc7-4634-a0ae-1eb35b24cd2a"/>
    <ds:schemaRef ds:uri="77226e7c-1abe-4306-8039-ffe3b620c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EAA611-47A7-4F6C-A767-A91828717D84}">
  <ds:schemaRefs>
    <ds:schemaRef ds:uri="b9317516-fb96-4786-b592-56ea2e49ee51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77226e7c-1abe-4306-8039-ffe3b620ce66"/>
    <ds:schemaRef ds:uri="f481ac27-dfc7-4634-a0ae-1eb35b24cd2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A0073DC-5C16-4F45-839A-19E0C43444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</vt:i4>
      </vt:variant>
    </vt:vector>
  </HeadingPairs>
  <TitlesOfParts>
    <vt:vector size="11" baseType="lpstr">
      <vt:lpstr>Hist</vt:lpstr>
      <vt:lpstr>SUM_GPC</vt:lpstr>
      <vt:lpstr>BAU</vt:lpstr>
      <vt:lpstr>Rap_GCP</vt:lpstr>
      <vt:lpstr>Rap_EM</vt:lpstr>
      <vt:lpstr>SUM_SEAP</vt:lpstr>
      <vt:lpstr>SUM_PGN</vt:lpstr>
      <vt:lpstr>pojazdy_przeliczenie</vt:lpstr>
      <vt:lpstr>wskaźnik OZE</vt:lpstr>
      <vt:lpstr>II. TRANS (obliczenie wskaźnika</vt:lpstr>
      <vt:lpstr>rok_inw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Tomek</dc:creator>
  <cp:lastModifiedBy>umagsu04</cp:lastModifiedBy>
  <cp:lastPrinted>2018-06-25T07:26:59Z</cp:lastPrinted>
  <dcterms:created xsi:type="dcterms:W3CDTF">2015-02-24T20:30:38Z</dcterms:created>
  <dcterms:modified xsi:type="dcterms:W3CDTF">2022-09-21T06:43:56Z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0x0101006AD500356D47F244AD3166675464837A</vt:lpwstr>
  </property>
  <property fmtid="{D5CDD505-2E9C-101B-9397-08002B2CF9AE}" pid="3" name="Microsoft.ReportingServices.InteractiveReport.Excel.SheetName">
    <vt:i4>2</vt:i4>
  </property>
</Properties>
</file>