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4008" windowWidth="19260" windowHeight="7356"/>
  </bookViews>
  <sheets>
    <sheet name="WPI 2015-2019" sheetId="1" r:id="rId1"/>
  </sheets>
  <externalReferences>
    <externalReference r:id="rId2"/>
    <externalReference r:id="rId3"/>
  </externalReferences>
  <definedNames>
    <definedName name="_xlnm._FilterDatabase" localSheetId="0" hidden="1">'WPI 2015-2019'!$B$2:$Q$361</definedName>
    <definedName name="_xlnm.Print_Area" localSheetId="0">'WPI 2015-2019'!$B$1:$Q$361</definedName>
    <definedName name="program">[1]Listy!$L$2:$L$18</definedName>
    <definedName name="realizacje">[1]Listy!$I$2:$I$13</definedName>
    <definedName name="robota">[1]Listy!$M$2:$M$5</definedName>
    <definedName name="tu">#REF!</definedName>
    <definedName name="_xlnm.Print_Titles" localSheetId="0">'WPI 2015-2019'!$3:$4</definedName>
    <definedName name="ulica">[2]Listy!$H$2:$H$820</definedName>
    <definedName name="Z_1578BFAC_6750_4D8F_9C0C_811DABC3BF40_.wvu.Cols" localSheetId="0" hidden="1">'WPI 2015-2019'!$F:$F,'WPI 2015-2019'!$H:$H,'WPI 2015-2019'!$K:$K</definedName>
    <definedName name="Z_1578BFAC_6750_4D8F_9C0C_811DABC3BF40_.wvu.FilterData" localSheetId="0" hidden="1">'WPI 2015-2019'!$B$2:$Q$361</definedName>
    <definedName name="Z_1578BFAC_6750_4D8F_9C0C_811DABC3BF40_.wvu.PrintArea" localSheetId="0" hidden="1">'WPI 2015-2019'!$B$2:$Q$361</definedName>
    <definedName name="Z_1578BFAC_6750_4D8F_9C0C_811DABC3BF40_.wvu.PrintTitles" localSheetId="0" hidden="1">'WPI 2015-2019'!$3:$4</definedName>
    <definedName name="Z_25132A7F_F72A_4E62_9883_326302087E8C_.wvu.FilterData" localSheetId="0" hidden="1">'WPI 2015-2019'!$B$2:$Q$361</definedName>
    <definedName name="Z_25132A7F_F72A_4E62_9883_326302087E8C_.wvu.PrintArea" localSheetId="0" hidden="1">'WPI 2015-2019'!$B$2:$Q$361</definedName>
    <definedName name="Z_25132A7F_F72A_4E62_9883_326302087E8C_.wvu.PrintTitles" localSheetId="0" hidden="1">'WPI 2015-2019'!$3:$4</definedName>
    <definedName name="Z_326A6FD8_10D9_49EA_91A0_B174F7C5741A_.wvu.Cols" localSheetId="0" hidden="1">'WPI 2015-2019'!$F:$F,'WPI 2015-2019'!$H:$H,'WPI 2015-2019'!$K:$K</definedName>
    <definedName name="Z_326A6FD8_10D9_49EA_91A0_B174F7C5741A_.wvu.FilterData" localSheetId="0" hidden="1">'WPI 2015-2019'!$B$2:$Q$361</definedName>
    <definedName name="Z_326A6FD8_10D9_49EA_91A0_B174F7C5741A_.wvu.PrintArea" localSheetId="0" hidden="1">'WPI 2015-2019'!$B$2:$Q$361</definedName>
    <definedName name="Z_326A6FD8_10D9_49EA_91A0_B174F7C5741A_.wvu.PrintTitles" localSheetId="0" hidden="1">'WPI 2015-2019'!$3:$4</definedName>
    <definedName name="Z_3F51ADDD_42D5_47A3_B06A_2EB28D682C19_.wvu.Cols" localSheetId="0" hidden="1">'WPI 2015-2019'!$F:$F,'WPI 2015-2019'!$H:$H,'WPI 2015-2019'!$K:$K</definedName>
    <definedName name="Z_3F51ADDD_42D5_47A3_B06A_2EB28D682C19_.wvu.FilterData" localSheetId="0" hidden="1">'WPI 2015-2019'!$B$2:$Q$361</definedName>
    <definedName name="Z_3F51ADDD_42D5_47A3_B06A_2EB28D682C19_.wvu.PrintArea" localSheetId="0" hidden="1">'WPI 2015-2019'!$B$2:$Q$361</definedName>
    <definedName name="Z_3F51ADDD_42D5_47A3_B06A_2EB28D682C19_.wvu.PrintTitles" localSheetId="0" hidden="1">'WPI 2015-2019'!$3:$4</definedName>
    <definedName name="Z_5BE5C1AE_67B7_46EF_92E8_6D2403EF82AB_.wvu.FilterData" localSheetId="0" hidden="1">'WPI 2015-2019'!$B$2:$Q$361</definedName>
    <definedName name="Z_5BE5C1AE_67B7_46EF_92E8_6D2403EF82AB_.wvu.PrintArea" localSheetId="0" hidden="1">'WPI 2015-2019'!$B$2:$Q$361</definedName>
    <definedName name="Z_5BE5C1AE_67B7_46EF_92E8_6D2403EF82AB_.wvu.PrintTitles" localSheetId="0" hidden="1">'WPI 2015-2019'!$3:$4</definedName>
    <definedName name="Z_605FFDC4_94BB_439E_93F4_B52F347AAB28_.wvu.FilterData" localSheetId="0" hidden="1">'WPI 2015-2019'!$B$2:$Q$361</definedName>
    <definedName name="Z_68F103B9_B02E_4D94_9C32_DA9263AFAF10_.wvu.FilterData" localSheetId="0" hidden="1">'WPI 2015-2019'!$B$2:$Q$361</definedName>
    <definedName name="Z_68F103B9_B02E_4D94_9C32_DA9263AFAF10_.wvu.PrintArea" localSheetId="0" hidden="1">'WPI 2015-2019'!$B$2:$Q$361</definedName>
    <definedName name="Z_68F103B9_B02E_4D94_9C32_DA9263AFAF10_.wvu.PrintTitles" localSheetId="0" hidden="1">'WPI 2015-2019'!$3:$4</definedName>
    <definedName name="Z_C754F5F7_F520_4D29_91D6_DEE22E17C4FE_.wvu.FilterData" localSheetId="0" hidden="1">'WPI 2015-2019'!$B$2:$Q$361</definedName>
    <definedName name="Z_C754F5F7_F520_4D29_91D6_DEE22E17C4FE_.wvu.PrintArea" localSheetId="0" hidden="1">'WPI 2015-2019'!$B$2:$Q$361</definedName>
    <definedName name="Z_C754F5F7_F520_4D29_91D6_DEE22E17C4FE_.wvu.PrintTitles" localSheetId="0" hidden="1">'WPI 2015-2019'!$3:$4</definedName>
    <definedName name="Z_FBCA4904_57A4_4364_89E1_75F2C9F7D5EB_.wvu.FilterData" hidden="1">#REF!</definedName>
    <definedName name="Z_FBCA4904_57A4_4364_89E1_75F2C9F7D5EB_.wvu.PrintArea" hidden="1">#REF!</definedName>
    <definedName name="Z_FBCA4904_57A4_4364_89E1_75F2C9F7D5EB_.wvu.PrintTitles" hidden="1">#REF!</definedName>
    <definedName name="Z_FBCA4904_57A4_4364_89E1_75F2C9F7D5EB_.wvu.Rows" hidden="1">#REF!</definedName>
  </definedNames>
  <calcPr calcId="125725"/>
  <customWorkbookViews>
    <customWorkbookView name="Izabela Macuda Grzywna - Widok osobisty" guid="{C754F5F7-F520-4D29-91D6-DEE22E17C4FE}" mergeInterval="0" personalView="1" maximized="1" xWindow="1" yWindow="1" windowWidth="1036" windowHeight="805" activeSheetId="2"/>
    <customWorkbookView name="umewka02 - Widok osobisty" guid="{68F103B9-B02E-4D94-9C32-DA9263AFAF10}" mergeInterval="0" personalView="1" maximized="1" xWindow="1" yWindow="1" windowWidth="1020" windowHeight="549" activeSheetId="2"/>
    <customWorkbookView name="umbawo01 - Widok osobisty" guid="{3F51ADDD-42D5-47A3-B06A-2EB28D682C19}" mergeInterval="0" personalView="1" maximized="1" xWindow="1" yWindow="1" windowWidth="1916" windowHeight="805" activeSheetId="3"/>
    <customWorkbookView name="umilni01 - Widok osobisty" guid="{326A6FD8-10D9-49EA-91A0-B174F7C5741A}" mergeInterval="0" personalView="1" maximized="1" xWindow="1" yWindow="1" windowWidth="1280" windowHeight="786" activeSheetId="2"/>
    <customWorkbookView name="ummama04 - Widok osobisty" guid="{25132A7F-F72A-4E62-9883-326302087E8C}" mergeInterval="0" personalView="1" maximized="1" xWindow="1" yWindow="1" windowWidth="1280" windowHeight="804" activeSheetId="2"/>
    <customWorkbookView name="umjoni01 - Widok osobisty" guid="{1578BFAC-6750-4D8F-9C0C-811DABC3BF40}" mergeInterval="0" personalView="1" maximized="1" xWindow="1" yWindow="1" windowWidth="1920" windowHeight="851" activeSheetId="2"/>
    <customWorkbookView name="umkahr01 - Widok osobisty" guid="{5BE5C1AE-67B7-46EF-92E8-6D2403EF82AB}" mergeInterval="0" personalView="1" maximized="1" xWindow="1" yWindow="1" windowWidth="1276" windowHeight="804" activeSheetId="2"/>
  </customWorkbookViews>
</workbook>
</file>

<file path=xl/calcChain.xml><?xml version="1.0" encoding="utf-8"?>
<calcChain xmlns="http://schemas.openxmlformats.org/spreadsheetml/2006/main">
  <c r="K234" i="1"/>
  <c r="N232"/>
  <c r="M232"/>
  <c r="L232" l="1"/>
  <c r="L231"/>
  <c r="K232"/>
  <c r="K231"/>
  <c r="H291" l="1"/>
  <c r="Q86"/>
  <c r="I86"/>
  <c r="J86"/>
  <c r="P85"/>
  <c r="O85"/>
  <c r="Q85" s="1"/>
  <c r="N85"/>
  <c r="M85"/>
  <c r="L85"/>
  <c r="K85"/>
  <c r="H85"/>
  <c r="I85" l="1"/>
  <c r="G86"/>
  <c r="J85"/>
  <c r="G85" s="1"/>
  <c r="F85" s="1"/>
  <c r="L8" l="1"/>
  <c r="L226"/>
  <c r="P254"/>
  <c r="P243"/>
  <c r="P237"/>
  <c r="P221"/>
  <c r="P212"/>
  <c r="P209"/>
  <c r="P204"/>
  <c r="P196"/>
  <c r="P194"/>
  <c r="P189"/>
  <c r="P164"/>
  <c r="P166"/>
  <c r="P168"/>
  <c r="P159"/>
  <c r="P161"/>
  <c r="P155"/>
  <c r="P150"/>
  <c r="P146"/>
  <c r="P136"/>
  <c r="P134"/>
  <c r="Q101"/>
  <c r="Q104"/>
  <c r="P104"/>
  <c r="P101"/>
  <c r="P98"/>
  <c r="P96"/>
  <c r="P83"/>
  <c r="P76"/>
  <c r="P122"/>
  <c r="K226" l="1"/>
  <c r="K133"/>
  <c r="H295"/>
  <c r="K295"/>
  <c r="N295"/>
  <c r="O295"/>
  <c r="P295"/>
  <c r="J73"/>
  <c r="G73" s="1"/>
  <c r="K48"/>
  <c r="K291" s="1"/>
  <c r="L48"/>
  <c r="L11" l="1"/>
  <c r="L255"/>
  <c r="M274"/>
  <c r="L274"/>
  <c r="M46"/>
  <c r="L46"/>
  <c r="M116" l="1"/>
  <c r="H309"/>
  <c r="K309"/>
  <c r="M309"/>
  <c r="N309"/>
  <c r="O309"/>
  <c r="P309"/>
  <c r="M263"/>
  <c r="L263"/>
  <c r="M34"/>
  <c r="L34"/>
  <c r="L28"/>
  <c r="M111"/>
  <c r="M21"/>
  <c r="L21"/>
  <c r="L291" s="1"/>
  <c r="L68"/>
  <c r="L52"/>
  <c r="L16"/>
  <c r="M49"/>
  <c r="M295" s="1"/>
  <c r="H292"/>
  <c r="K292"/>
  <c r="L292"/>
  <c r="M292"/>
  <c r="N292"/>
  <c r="O292"/>
  <c r="P292"/>
  <c r="I52"/>
  <c r="L295" l="1"/>
  <c r="H300" l="1"/>
  <c r="K300"/>
  <c r="I300"/>
  <c r="L300"/>
  <c r="M300"/>
  <c r="N300"/>
  <c r="O300"/>
  <c r="P300"/>
  <c r="Q300"/>
  <c r="H315"/>
  <c r="K315"/>
  <c r="L315"/>
  <c r="M315"/>
  <c r="N315"/>
  <c r="O315"/>
  <c r="P315"/>
  <c r="Q169"/>
  <c r="I169"/>
  <c r="J169"/>
  <c r="O168"/>
  <c r="Q168" s="1"/>
  <c r="N168"/>
  <c r="M168"/>
  <c r="L168"/>
  <c r="K168"/>
  <c r="H168"/>
  <c r="G169" l="1"/>
  <c r="J168"/>
  <c r="G168" s="1"/>
  <c r="F168" s="1"/>
  <c r="I168"/>
  <c r="K115" l="1"/>
  <c r="L115"/>
  <c r="N115"/>
  <c r="O115"/>
  <c r="P115"/>
  <c r="M115"/>
  <c r="J115" l="1"/>
  <c r="J118"/>
  <c r="J300" s="1"/>
  <c r="L217"/>
  <c r="K217"/>
  <c r="L154"/>
  <c r="G118" l="1"/>
  <c r="G300" s="1"/>
  <c r="L174" l="1"/>
  <c r="P246"/>
  <c r="P249"/>
  <c r="P251"/>
  <c r="P256"/>
  <c r="P258"/>
  <c r="P262"/>
  <c r="P74" l="1"/>
  <c r="I75"/>
  <c r="J75"/>
  <c r="G75" s="1"/>
  <c r="O74"/>
  <c r="N74"/>
  <c r="M74"/>
  <c r="L74"/>
  <c r="K74"/>
  <c r="H74"/>
  <c r="I74" l="1"/>
  <c r="J74"/>
  <c r="G74" l="1"/>
  <c r="F74" s="1"/>
  <c r="J16"/>
  <c r="G16" s="1"/>
  <c r="Q13"/>
  <c r="P13"/>
  <c r="O13"/>
  <c r="N13"/>
  <c r="M13"/>
  <c r="L13"/>
  <c r="J49"/>
  <c r="Q47"/>
  <c r="M40"/>
  <c r="M48"/>
  <c r="M47" s="1"/>
  <c r="M174"/>
  <c r="M172"/>
  <c r="L172"/>
  <c r="Q264"/>
  <c r="G49" l="1"/>
  <c r="I49"/>
  <c r="P192"/>
  <c r="O105"/>
  <c r="O102"/>
  <c r="M77"/>
  <c r="M72"/>
  <c r="N99"/>
  <c r="O111"/>
  <c r="N111"/>
  <c r="M144"/>
  <c r="N226"/>
  <c r="M226"/>
  <c r="P48"/>
  <c r="P291" s="1"/>
  <c r="O48"/>
  <c r="N48"/>
  <c r="L47"/>
  <c r="N66"/>
  <c r="N291" l="1"/>
  <c r="O47"/>
  <c r="N47"/>
  <c r="P47"/>
  <c r="J47" l="1"/>
  <c r="K321" l="1"/>
  <c r="L321"/>
  <c r="M321"/>
  <c r="N321"/>
  <c r="O321"/>
  <c r="P321"/>
  <c r="H345"/>
  <c r="M345"/>
  <c r="N345"/>
  <c r="O345"/>
  <c r="P345"/>
  <c r="H303"/>
  <c r="K303"/>
  <c r="L303"/>
  <c r="O303"/>
  <c r="P303"/>
  <c r="H297"/>
  <c r="O297"/>
  <c r="P297"/>
  <c r="Q244"/>
  <c r="I244"/>
  <c r="J244"/>
  <c r="O243"/>
  <c r="Q243" s="1"/>
  <c r="N243"/>
  <c r="M243"/>
  <c r="L243"/>
  <c r="K243"/>
  <c r="H243"/>
  <c r="Q190"/>
  <c r="I190"/>
  <c r="J190"/>
  <c r="O189"/>
  <c r="Q189" s="1"/>
  <c r="N189"/>
  <c r="M189"/>
  <c r="L189"/>
  <c r="K189"/>
  <c r="H189"/>
  <c r="Q151"/>
  <c r="I151"/>
  <c r="J151"/>
  <c r="O150"/>
  <c r="Q150" s="1"/>
  <c r="N150"/>
  <c r="M150"/>
  <c r="L150"/>
  <c r="K150"/>
  <c r="H150"/>
  <c r="Q137"/>
  <c r="I137"/>
  <c r="J137"/>
  <c r="O136"/>
  <c r="Q136" s="1"/>
  <c r="N136"/>
  <c r="M136"/>
  <c r="L136"/>
  <c r="K136"/>
  <c r="H136"/>
  <c r="G137" l="1"/>
  <c r="J136"/>
  <c r="G136" s="1"/>
  <c r="F136" s="1"/>
  <c r="G244"/>
  <c r="I189"/>
  <c r="I150"/>
  <c r="I136"/>
  <c r="J150"/>
  <c r="G150" s="1"/>
  <c r="F150" s="1"/>
  <c r="G151"/>
  <c r="I243"/>
  <c r="J243"/>
  <c r="G243" s="1"/>
  <c r="F243" s="1"/>
  <c r="J189"/>
  <c r="G189" s="1"/>
  <c r="F189" s="1"/>
  <c r="G190"/>
  <c r="P359" l="1"/>
  <c r="O359"/>
  <c r="N359"/>
  <c r="M359"/>
  <c r="L359"/>
  <c r="K359"/>
  <c r="H359"/>
  <c r="Q358"/>
  <c r="P358"/>
  <c r="O358"/>
  <c r="N358"/>
  <c r="M358"/>
  <c r="L358"/>
  <c r="K358"/>
  <c r="H358"/>
  <c r="Q357"/>
  <c r="P357"/>
  <c r="O357"/>
  <c r="N357"/>
  <c r="M357"/>
  <c r="L357"/>
  <c r="K357"/>
  <c r="H357"/>
  <c r="P352" l="1"/>
  <c r="O352"/>
  <c r="N352"/>
  <c r="M352"/>
  <c r="L352"/>
  <c r="K352"/>
  <c r="H352"/>
  <c r="P351"/>
  <c r="O351"/>
  <c r="N351"/>
  <c r="K351"/>
  <c r="H351"/>
  <c r="P349"/>
  <c r="O349"/>
  <c r="N349"/>
  <c r="M349"/>
  <c r="L349"/>
  <c r="K349"/>
  <c r="H349"/>
  <c r="P348"/>
  <c r="O348"/>
  <c r="N348"/>
  <c r="M348"/>
  <c r="L348"/>
  <c r="H348"/>
  <c r="P346"/>
  <c r="O346"/>
  <c r="N346"/>
  <c r="M346"/>
  <c r="L346"/>
  <c r="K346"/>
  <c r="H346"/>
  <c r="P339" l="1"/>
  <c r="O339"/>
  <c r="N339"/>
  <c r="M339"/>
  <c r="L339"/>
  <c r="H339"/>
  <c r="P335"/>
  <c r="O335"/>
  <c r="N335"/>
  <c r="M335"/>
  <c r="L335"/>
  <c r="K335"/>
  <c r="H335"/>
  <c r="P333"/>
  <c r="O333"/>
  <c r="N333"/>
  <c r="M333"/>
  <c r="L333"/>
  <c r="K333"/>
  <c r="H333"/>
  <c r="P327"/>
  <c r="O327"/>
  <c r="N327"/>
  <c r="M327"/>
  <c r="L327"/>
  <c r="K327"/>
  <c r="H327"/>
  <c r="P324"/>
  <c r="O324"/>
  <c r="N324"/>
  <c r="M324"/>
  <c r="L324"/>
  <c r="K324"/>
  <c r="H324"/>
  <c r="P322"/>
  <c r="O322"/>
  <c r="N322"/>
  <c r="M322"/>
  <c r="L322"/>
  <c r="K322"/>
  <c r="H322"/>
  <c r="Q313"/>
  <c r="P313"/>
  <c r="O313"/>
  <c r="N313"/>
  <c r="M313"/>
  <c r="L313"/>
  <c r="K313"/>
  <c r="H313"/>
  <c r="Q310"/>
  <c r="P310"/>
  <c r="O310"/>
  <c r="N310"/>
  <c r="M310"/>
  <c r="L310"/>
  <c r="K310"/>
  <c r="H310"/>
  <c r="P307"/>
  <c r="P302" s="1"/>
  <c r="O307"/>
  <c r="O302" s="1"/>
  <c r="N307"/>
  <c r="M307"/>
  <c r="L307"/>
  <c r="L302" s="1"/>
  <c r="K307"/>
  <c r="K302" s="1"/>
  <c r="H307"/>
  <c r="H302" s="1"/>
  <c r="P301"/>
  <c r="O301"/>
  <c r="N301"/>
  <c r="M301"/>
  <c r="L301"/>
  <c r="K301"/>
  <c r="H301"/>
  <c r="P298"/>
  <c r="O298"/>
  <c r="N298"/>
  <c r="M298"/>
  <c r="L298"/>
  <c r="K298"/>
  <c r="H298"/>
  <c r="L320" l="1"/>
  <c r="K332"/>
  <c r="N308"/>
  <c r="L332"/>
  <c r="P320"/>
  <c r="P332"/>
  <c r="K320"/>
  <c r="O320"/>
  <c r="H332"/>
  <c r="O332"/>
  <c r="P308"/>
  <c r="N332"/>
  <c r="M332"/>
  <c r="N320"/>
  <c r="M320"/>
  <c r="K308"/>
  <c r="H308"/>
  <c r="O308"/>
  <c r="M308"/>
  <c r="H289"/>
  <c r="P294"/>
  <c r="P288" s="1"/>
  <c r="O294"/>
  <c r="O288" s="1"/>
  <c r="N294"/>
  <c r="N288" s="1"/>
  <c r="M294"/>
  <c r="M288" s="1"/>
  <c r="L294"/>
  <c r="L288" s="1"/>
  <c r="K294"/>
  <c r="H294"/>
  <c r="H288" s="1"/>
  <c r="P286"/>
  <c r="O286"/>
  <c r="N286"/>
  <c r="M286"/>
  <c r="L286"/>
  <c r="H286"/>
  <c r="P289"/>
  <c r="O289"/>
  <c r="N289"/>
  <c r="M289"/>
  <c r="L289"/>
  <c r="K289"/>
  <c r="F289"/>
  <c r="F288"/>
  <c r="P287"/>
  <c r="O287"/>
  <c r="N287"/>
  <c r="M287"/>
  <c r="L287"/>
  <c r="K287"/>
  <c r="H287"/>
  <c r="F287"/>
  <c r="F286"/>
  <c r="F285" l="1"/>
  <c r="I282"/>
  <c r="I358" s="1"/>
  <c r="J282"/>
  <c r="J358" s="1"/>
  <c r="I281"/>
  <c r="J281"/>
  <c r="G281" s="1"/>
  <c r="Q280"/>
  <c r="P280"/>
  <c r="O280"/>
  <c r="N280"/>
  <c r="M280"/>
  <c r="L280"/>
  <c r="K280"/>
  <c r="H280"/>
  <c r="I279"/>
  <c r="J279"/>
  <c r="G279" s="1"/>
  <c r="Q278"/>
  <c r="P278"/>
  <c r="O278"/>
  <c r="N278"/>
  <c r="M278"/>
  <c r="L278"/>
  <c r="K278"/>
  <c r="H278"/>
  <c r="I277"/>
  <c r="J277"/>
  <c r="G277" s="1"/>
  <c r="F276" s="1"/>
  <c r="Q276"/>
  <c r="P276"/>
  <c r="O276"/>
  <c r="N276"/>
  <c r="M276"/>
  <c r="L276"/>
  <c r="K276"/>
  <c r="H276"/>
  <c r="Q275"/>
  <c r="Q359" s="1"/>
  <c r="Q356" s="1"/>
  <c r="P356" s="1"/>
  <c r="O356" s="1"/>
  <c r="N356" s="1"/>
  <c r="M356" s="1"/>
  <c r="L356" s="1"/>
  <c r="I275"/>
  <c r="I359" s="1"/>
  <c r="J275"/>
  <c r="J359" s="1"/>
  <c r="I274"/>
  <c r="J274"/>
  <c r="G274" s="1"/>
  <c r="P273"/>
  <c r="O273"/>
  <c r="N273"/>
  <c r="M273"/>
  <c r="L273"/>
  <c r="K273"/>
  <c r="H273"/>
  <c r="I272"/>
  <c r="J272"/>
  <c r="G272" s="1"/>
  <c r="Q271"/>
  <c r="P271"/>
  <c r="O271"/>
  <c r="N271"/>
  <c r="M271"/>
  <c r="L271"/>
  <c r="K271"/>
  <c r="H271"/>
  <c r="I269"/>
  <c r="J269"/>
  <c r="G269" s="1"/>
  <c r="F268" s="1"/>
  <c r="Q268"/>
  <c r="P268"/>
  <c r="O268"/>
  <c r="N268"/>
  <c r="M268"/>
  <c r="L268"/>
  <c r="K268"/>
  <c r="H268"/>
  <c r="I267"/>
  <c r="J267"/>
  <c r="G267" s="1"/>
  <c r="F266" s="1"/>
  <c r="Q266"/>
  <c r="P266"/>
  <c r="O266"/>
  <c r="N266"/>
  <c r="M266"/>
  <c r="L266"/>
  <c r="K266"/>
  <c r="H266"/>
  <c r="I265"/>
  <c r="J265"/>
  <c r="G265" s="1"/>
  <c r="F264" s="1"/>
  <c r="P264"/>
  <c r="O264"/>
  <c r="N264"/>
  <c r="M264"/>
  <c r="L264"/>
  <c r="K264"/>
  <c r="H264"/>
  <c r="Q263"/>
  <c r="I263"/>
  <c r="J263"/>
  <c r="O262"/>
  <c r="N262"/>
  <c r="M262"/>
  <c r="L262"/>
  <c r="K262"/>
  <c r="H262"/>
  <c r="Q261"/>
  <c r="Q260" s="1"/>
  <c r="I261"/>
  <c r="J261"/>
  <c r="P260"/>
  <c r="O260"/>
  <c r="N260"/>
  <c r="M260"/>
  <c r="L260"/>
  <c r="K260"/>
  <c r="H260"/>
  <c r="Q259"/>
  <c r="I259"/>
  <c r="J259"/>
  <c r="O258"/>
  <c r="N258"/>
  <c r="M258"/>
  <c r="L258"/>
  <c r="K258"/>
  <c r="H258"/>
  <c r="Q257"/>
  <c r="I257"/>
  <c r="J257"/>
  <c r="O256"/>
  <c r="N256"/>
  <c r="M256"/>
  <c r="L256"/>
  <c r="K256"/>
  <c r="H256"/>
  <c r="Q255"/>
  <c r="J255"/>
  <c r="I255"/>
  <c r="O254"/>
  <c r="N254"/>
  <c r="M254"/>
  <c r="K254"/>
  <c r="H254"/>
  <c r="Q253"/>
  <c r="I253"/>
  <c r="J253"/>
  <c r="Q252"/>
  <c r="I252"/>
  <c r="J252"/>
  <c r="O251"/>
  <c r="N251"/>
  <c r="M251"/>
  <c r="L251"/>
  <c r="K251"/>
  <c r="H251"/>
  <c r="Q250"/>
  <c r="I250"/>
  <c r="J250"/>
  <c r="O249"/>
  <c r="N249"/>
  <c r="M249"/>
  <c r="L249"/>
  <c r="K249"/>
  <c r="H249"/>
  <c r="Q248"/>
  <c r="I248"/>
  <c r="J248"/>
  <c r="Q247"/>
  <c r="M247"/>
  <c r="M351" s="1"/>
  <c r="I247"/>
  <c r="O246"/>
  <c r="N246"/>
  <c r="L246"/>
  <c r="K246"/>
  <c r="H246"/>
  <c r="I242"/>
  <c r="J242"/>
  <c r="G242" s="1"/>
  <c r="Q241"/>
  <c r="P241"/>
  <c r="O241"/>
  <c r="N241"/>
  <c r="M241"/>
  <c r="L241"/>
  <c r="K241"/>
  <c r="H241"/>
  <c r="Q240"/>
  <c r="I240"/>
  <c r="J240"/>
  <c r="I239"/>
  <c r="J239"/>
  <c r="G239" s="1"/>
  <c r="Q238"/>
  <c r="I238"/>
  <c r="J238"/>
  <c r="O237"/>
  <c r="N237"/>
  <c r="M237"/>
  <c r="L237"/>
  <c r="K237"/>
  <c r="H237"/>
  <c r="I236"/>
  <c r="J236"/>
  <c r="G236" s="1"/>
  <c r="Q235"/>
  <c r="P235"/>
  <c r="O235"/>
  <c r="N235"/>
  <c r="M235"/>
  <c r="L235"/>
  <c r="K235"/>
  <c r="H235"/>
  <c r="I234"/>
  <c r="J234"/>
  <c r="G234" s="1"/>
  <c r="Q233"/>
  <c r="P233"/>
  <c r="O233"/>
  <c r="N233"/>
  <c r="M233"/>
  <c r="L233"/>
  <c r="K233"/>
  <c r="H233"/>
  <c r="I232"/>
  <c r="J232"/>
  <c r="G232" s="1"/>
  <c r="I231"/>
  <c r="J231"/>
  <c r="G231" s="1"/>
  <c r="Q230"/>
  <c r="P230"/>
  <c r="O230"/>
  <c r="N230"/>
  <c r="M230"/>
  <c r="L230"/>
  <c r="K230"/>
  <c r="H230"/>
  <c r="I229"/>
  <c r="J229"/>
  <c r="G229" s="1"/>
  <c r="Q228"/>
  <c r="P228"/>
  <c r="O228"/>
  <c r="N228"/>
  <c r="M228"/>
  <c r="L228"/>
  <c r="K228"/>
  <c r="H228"/>
  <c r="Q227"/>
  <c r="Q225" s="1"/>
  <c r="I227"/>
  <c r="J227"/>
  <c r="I226"/>
  <c r="J226"/>
  <c r="G226" s="1"/>
  <c r="P225"/>
  <c r="O225"/>
  <c r="N225"/>
  <c r="M225"/>
  <c r="L225"/>
  <c r="K225"/>
  <c r="H225"/>
  <c r="Q224"/>
  <c r="I224"/>
  <c r="J224"/>
  <c r="Q223"/>
  <c r="I223"/>
  <c r="J223"/>
  <c r="Q222"/>
  <c r="L345"/>
  <c r="I222"/>
  <c r="O221"/>
  <c r="N221"/>
  <c r="M221"/>
  <c r="K221"/>
  <c r="H221"/>
  <c r="K219"/>
  <c r="J220"/>
  <c r="Q219"/>
  <c r="P219"/>
  <c r="O219"/>
  <c r="N219"/>
  <c r="M219"/>
  <c r="L219"/>
  <c r="H219"/>
  <c r="Q218"/>
  <c r="Q216" s="1"/>
  <c r="K218"/>
  <c r="K348" s="1"/>
  <c r="J218"/>
  <c r="J217"/>
  <c r="P216"/>
  <c r="O216"/>
  <c r="N216"/>
  <c r="M216"/>
  <c r="L216"/>
  <c r="H216"/>
  <c r="Q215"/>
  <c r="I215"/>
  <c r="J215"/>
  <c r="Q214"/>
  <c r="I214"/>
  <c r="J214"/>
  <c r="Q213"/>
  <c r="I213"/>
  <c r="J213"/>
  <c r="O212"/>
  <c r="N212"/>
  <c r="M212"/>
  <c r="L212"/>
  <c r="K212"/>
  <c r="H212"/>
  <c r="Q210"/>
  <c r="I210"/>
  <c r="J210"/>
  <c r="O209"/>
  <c r="N209"/>
  <c r="M209"/>
  <c r="L209"/>
  <c r="K209"/>
  <c r="H209"/>
  <c r="K339"/>
  <c r="J208"/>
  <c r="Q207"/>
  <c r="P207"/>
  <c r="O207"/>
  <c r="N207"/>
  <c r="M207"/>
  <c r="L207"/>
  <c r="H207"/>
  <c r="Q205"/>
  <c r="I205"/>
  <c r="J205"/>
  <c r="O204"/>
  <c r="N204"/>
  <c r="M204"/>
  <c r="L204"/>
  <c r="K204"/>
  <c r="H204"/>
  <c r="I203"/>
  <c r="J203"/>
  <c r="G203" s="1"/>
  <c r="Q202"/>
  <c r="P202"/>
  <c r="O202"/>
  <c r="N202"/>
  <c r="M202"/>
  <c r="L202"/>
  <c r="K202"/>
  <c r="H202"/>
  <c r="Q201"/>
  <c r="I201"/>
  <c r="I335" s="1"/>
  <c r="J201"/>
  <c r="J335" s="1"/>
  <c r="I200"/>
  <c r="J200"/>
  <c r="G200" s="1"/>
  <c r="Q199"/>
  <c r="P199"/>
  <c r="O199"/>
  <c r="N199"/>
  <c r="M199"/>
  <c r="L199"/>
  <c r="K199"/>
  <c r="H199"/>
  <c r="Q197"/>
  <c r="I197"/>
  <c r="J197"/>
  <c r="O196"/>
  <c r="N196"/>
  <c r="M196"/>
  <c r="L196"/>
  <c r="K196"/>
  <c r="H196"/>
  <c r="Q195"/>
  <c r="I195"/>
  <c r="J195"/>
  <c r="O194"/>
  <c r="N194"/>
  <c r="M194"/>
  <c r="L194"/>
  <c r="K194"/>
  <c r="H194"/>
  <c r="I193"/>
  <c r="J193"/>
  <c r="G193" s="1"/>
  <c r="O192"/>
  <c r="N192"/>
  <c r="M192"/>
  <c r="L192"/>
  <c r="K192"/>
  <c r="H192"/>
  <c r="I188"/>
  <c r="J188"/>
  <c r="G188" s="1"/>
  <c r="Q187"/>
  <c r="P187"/>
  <c r="O187"/>
  <c r="N187"/>
  <c r="M187"/>
  <c r="L187"/>
  <c r="K187"/>
  <c r="H187"/>
  <c r="Q186"/>
  <c r="I186"/>
  <c r="J186"/>
  <c r="P185"/>
  <c r="O185"/>
  <c r="N185"/>
  <c r="M185"/>
  <c r="L185"/>
  <c r="K185"/>
  <c r="H185"/>
  <c r="Q184"/>
  <c r="I184"/>
  <c r="J184"/>
  <c r="P183"/>
  <c r="O183"/>
  <c r="N183"/>
  <c r="M183"/>
  <c r="L183"/>
  <c r="K183"/>
  <c r="H183"/>
  <c r="I182"/>
  <c r="J182"/>
  <c r="G182" s="1"/>
  <c r="Q181"/>
  <c r="P181"/>
  <c r="O181"/>
  <c r="N181"/>
  <c r="M181"/>
  <c r="L181"/>
  <c r="K181"/>
  <c r="H181"/>
  <c r="Q180"/>
  <c r="Q178" s="1"/>
  <c r="I180"/>
  <c r="I322" s="1"/>
  <c r="J180"/>
  <c r="J322" s="1"/>
  <c r="I179"/>
  <c r="J179"/>
  <c r="G179" s="1"/>
  <c r="P178"/>
  <c r="O178"/>
  <c r="N178"/>
  <c r="M178"/>
  <c r="L178"/>
  <c r="K178"/>
  <c r="H178"/>
  <c r="Q177"/>
  <c r="Q175" s="1"/>
  <c r="I177"/>
  <c r="I324" s="1"/>
  <c r="J177"/>
  <c r="J324" s="1"/>
  <c r="I176"/>
  <c r="J176"/>
  <c r="G176" s="1"/>
  <c r="P175"/>
  <c r="O175"/>
  <c r="N175"/>
  <c r="M175"/>
  <c r="L175"/>
  <c r="K175"/>
  <c r="H175"/>
  <c r="J174"/>
  <c r="H174"/>
  <c r="H321" s="1"/>
  <c r="Q173"/>
  <c r="P173"/>
  <c r="O173"/>
  <c r="N173"/>
  <c r="M173"/>
  <c r="L173"/>
  <c r="K173"/>
  <c r="I172"/>
  <c r="J172"/>
  <c r="G172" s="1"/>
  <c r="Q171"/>
  <c r="P171"/>
  <c r="O171"/>
  <c r="N171"/>
  <c r="M171"/>
  <c r="L171"/>
  <c r="K171"/>
  <c r="H171"/>
  <c r="Q167"/>
  <c r="I167"/>
  <c r="J167"/>
  <c r="O166"/>
  <c r="N166"/>
  <c r="M166"/>
  <c r="L166"/>
  <c r="K166"/>
  <c r="H166"/>
  <c r="Q165"/>
  <c r="I165"/>
  <c r="J165"/>
  <c r="O164"/>
  <c r="N164"/>
  <c r="M164"/>
  <c r="L164"/>
  <c r="K164"/>
  <c r="H164"/>
  <c r="Q162"/>
  <c r="I162"/>
  <c r="J162"/>
  <c r="O161"/>
  <c r="N161"/>
  <c r="M161"/>
  <c r="L161"/>
  <c r="K161"/>
  <c r="H161"/>
  <c r="Q160"/>
  <c r="I160"/>
  <c r="J160"/>
  <c r="O159"/>
  <c r="N159"/>
  <c r="M159"/>
  <c r="L159"/>
  <c r="K159"/>
  <c r="H159"/>
  <c r="I158"/>
  <c r="I313" s="1"/>
  <c r="J158"/>
  <c r="J313" s="1"/>
  <c r="I157"/>
  <c r="I310" s="1"/>
  <c r="J157"/>
  <c r="J310" s="1"/>
  <c r="Q156"/>
  <c r="Q309" l="1"/>
  <c r="Q345"/>
  <c r="I315"/>
  <c r="J349"/>
  <c r="J315"/>
  <c r="Q315"/>
  <c r="J216"/>
  <c r="Q321"/>
  <c r="G186"/>
  <c r="G240"/>
  <c r="I352"/>
  <c r="G250"/>
  <c r="F249" s="1"/>
  <c r="G167"/>
  <c r="G248"/>
  <c r="G259"/>
  <c r="F258" s="1"/>
  <c r="J280"/>
  <c r="J249"/>
  <c r="G263"/>
  <c r="F262" s="1"/>
  <c r="J164"/>
  <c r="J273"/>
  <c r="J171"/>
  <c r="J207"/>
  <c r="J241"/>
  <c r="G241" s="1"/>
  <c r="F241" s="1"/>
  <c r="J175"/>
  <c r="G175" s="1"/>
  <c r="F175" s="1"/>
  <c r="J183"/>
  <c r="J209"/>
  <c r="J178"/>
  <c r="G178" s="1"/>
  <c r="F178" s="1"/>
  <c r="J260"/>
  <c r="G260" s="1"/>
  <c r="J181"/>
  <c r="G181" s="1"/>
  <c r="F181" s="1"/>
  <c r="G201"/>
  <c r="G335" s="1"/>
  <c r="J159"/>
  <c r="J161"/>
  <c r="G162"/>
  <c r="J196"/>
  <c r="G197"/>
  <c r="I333"/>
  <c r="I332" s="1"/>
  <c r="G208"/>
  <c r="G223"/>
  <c r="J225"/>
  <c r="G225" s="1"/>
  <c r="F225" s="1"/>
  <c r="G253"/>
  <c r="J276"/>
  <c r="G276" s="1"/>
  <c r="J199"/>
  <c r="G199" s="1"/>
  <c r="F199" s="1"/>
  <c r="G205"/>
  <c r="G333" s="1"/>
  <c r="G217"/>
  <c r="G220"/>
  <c r="L221"/>
  <c r="J221" s="1"/>
  <c r="J230"/>
  <c r="G230" s="1"/>
  <c r="F230" s="1"/>
  <c r="G252"/>
  <c r="F251" s="1"/>
  <c r="G261"/>
  <c r="F260" s="1"/>
  <c r="J278"/>
  <c r="G278" s="1"/>
  <c r="F278" s="1"/>
  <c r="G280"/>
  <c r="F280" s="1"/>
  <c r="G158"/>
  <c r="G313" s="1"/>
  <c r="J173"/>
  <c r="J251"/>
  <c r="J264"/>
  <c r="G264" s="1"/>
  <c r="G171"/>
  <c r="F171" s="1"/>
  <c r="G160"/>
  <c r="J185"/>
  <c r="J187"/>
  <c r="G187" s="1"/>
  <c r="F187" s="1"/>
  <c r="J194"/>
  <c r="G195"/>
  <c r="J287"/>
  <c r="J202"/>
  <c r="G202" s="1"/>
  <c r="F202" s="1"/>
  <c r="G210"/>
  <c r="G339" s="1"/>
  <c r="J212"/>
  <c r="J346"/>
  <c r="I349"/>
  <c r="K216"/>
  <c r="I216" s="1"/>
  <c r="G227"/>
  <c r="J237"/>
  <c r="J247"/>
  <c r="J351" s="1"/>
  <c r="L254"/>
  <c r="J254" s="1"/>
  <c r="J256"/>
  <c r="J262"/>
  <c r="J192"/>
  <c r="J204"/>
  <c r="J235"/>
  <c r="G235" s="1"/>
  <c r="F235" s="1"/>
  <c r="J266"/>
  <c r="G266" s="1"/>
  <c r="J271"/>
  <c r="G271" s="1"/>
  <c r="F271" s="1"/>
  <c r="J166"/>
  <c r="I181"/>
  <c r="G184"/>
  <c r="Q327"/>
  <c r="I209"/>
  <c r="G213"/>
  <c r="I346"/>
  <c r="G218"/>
  <c r="J219"/>
  <c r="G219" s="1"/>
  <c r="F219" s="1"/>
  <c r="G224"/>
  <c r="J228"/>
  <c r="G228" s="1"/>
  <c r="F228" s="1"/>
  <c r="J233"/>
  <c r="G233" s="1"/>
  <c r="F233" s="1"/>
  <c r="G238"/>
  <c r="M246"/>
  <c r="J246" s="1"/>
  <c r="J352"/>
  <c r="G255"/>
  <c r="F254" s="1"/>
  <c r="G257"/>
  <c r="F256" s="1"/>
  <c r="J258"/>
  <c r="J268"/>
  <c r="G268" s="1"/>
  <c r="G357"/>
  <c r="G165"/>
  <c r="G157"/>
  <c r="G310" s="1"/>
  <c r="H173"/>
  <c r="G180"/>
  <c r="G322" s="1"/>
  <c r="J327"/>
  <c r="K207"/>
  <c r="G214"/>
  <c r="G346" s="1"/>
  <c r="G215"/>
  <c r="J222"/>
  <c r="G222" s="1"/>
  <c r="J357"/>
  <c r="J356" s="1"/>
  <c r="H356" s="1"/>
  <c r="Q273"/>
  <c r="G275"/>
  <c r="G359" s="1"/>
  <c r="G177"/>
  <c r="G324" s="1"/>
  <c r="Q322" s="1"/>
  <c r="G282"/>
  <c r="G358" s="1"/>
  <c r="G174"/>
  <c r="I327"/>
  <c r="J333"/>
  <c r="J332" s="1"/>
  <c r="I287"/>
  <c r="I212"/>
  <c r="K345"/>
  <c r="K344" s="1"/>
  <c r="L351"/>
  <c r="I357"/>
  <c r="I356" s="1"/>
  <c r="K356" s="1"/>
  <c r="J321"/>
  <c r="J320" s="1"/>
  <c r="Q164"/>
  <c r="H320"/>
  <c r="H285"/>
  <c r="Q333"/>
  <c r="Q212"/>
  <c r="I217"/>
  <c r="Q246"/>
  <c r="I159"/>
  <c r="Q159"/>
  <c r="I161"/>
  <c r="Q161"/>
  <c r="I164"/>
  <c r="I166"/>
  <c r="Q166"/>
  <c r="I171"/>
  <c r="I174"/>
  <c r="I175"/>
  <c r="I178"/>
  <c r="I183"/>
  <c r="Q183"/>
  <c r="I185"/>
  <c r="Q185"/>
  <c r="I187"/>
  <c r="I192"/>
  <c r="I194"/>
  <c r="Q194"/>
  <c r="I196"/>
  <c r="Q196"/>
  <c r="I199"/>
  <c r="I202"/>
  <c r="I204"/>
  <c r="Q204"/>
  <c r="J339"/>
  <c r="Q209"/>
  <c r="J348"/>
  <c r="I218"/>
  <c r="I348" s="1"/>
  <c r="I219"/>
  <c r="I221"/>
  <c r="Q221"/>
  <c r="I225"/>
  <c r="I228"/>
  <c r="I230"/>
  <c r="I233"/>
  <c r="I235"/>
  <c r="I237"/>
  <c r="Q237"/>
  <c r="I241"/>
  <c r="I246"/>
  <c r="I351"/>
  <c r="Q351"/>
  <c r="I249"/>
  <c r="Q249"/>
  <c r="I251"/>
  <c r="Q251"/>
  <c r="I254"/>
  <c r="Q254"/>
  <c r="I256"/>
  <c r="Q256"/>
  <c r="I258"/>
  <c r="Q258"/>
  <c r="I260"/>
  <c r="I262"/>
  <c r="Q262"/>
  <c r="I264"/>
  <c r="I266"/>
  <c r="I268"/>
  <c r="I271"/>
  <c r="I273"/>
  <c r="I276"/>
  <c r="I278"/>
  <c r="I280"/>
  <c r="L156"/>
  <c r="I156"/>
  <c r="O155"/>
  <c r="N155"/>
  <c r="M155"/>
  <c r="K155"/>
  <c r="H155"/>
  <c r="I154"/>
  <c r="J154"/>
  <c r="Q153"/>
  <c r="P153"/>
  <c r="O153"/>
  <c r="N153"/>
  <c r="M153"/>
  <c r="L153"/>
  <c r="K153"/>
  <c r="H153"/>
  <c r="I149"/>
  <c r="J149"/>
  <c r="G149" s="1"/>
  <c r="Q148"/>
  <c r="P148"/>
  <c r="O148"/>
  <c r="N148"/>
  <c r="M148"/>
  <c r="L148"/>
  <c r="K148"/>
  <c r="H148"/>
  <c r="Q147"/>
  <c r="I147"/>
  <c r="J147"/>
  <c r="O146"/>
  <c r="N146"/>
  <c r="M146"/>
  <c r="L146"/>
  <c r="K146"/>
  <c r="H146"/>
  <c r="Q145"/>
  <c r="I145"/>
  <c r="I307" s="1"/>
  <c r="J145"/>
  <c r="J307" s="1"/>
  <c r="Q144"/>
  <c r="I144"/>
  <c r="J144"/>
  <c r="P143"/>
  <c r="O143"/>
  <c r="N143"/>
  <c r="M143"/>
  <c r="L143"/>
  <c r="K143"/>
  <c r="H143"/>
  <c r="N142"/>
  <c r="N303" s="1"/>
  <c r="M142"/>
  <c r="M303" s="1"/>
  <c r="I142"/>
  <c r="Q141"/>
  <c r="P141"/>
  <c r="O141"/>
  <c r="L141"/>
  <c r="K141"/>
  <c r="H141"/>
  <c r="I140"/>
  <c r="J140"/>
  <c r="G140" s="1"/>
  <c r="Q139"/>
  <c r="P139"/>
  <c r="O139"/>
  <c r="N139"/>
  <c r="M139"/>
  <c r="L139"/>
  <c r="K139"/>
  <c r="H139"/>
  <c r="Q135"/>
  <c r="I135"/>
  <c r="J135"/>
  <c r="O134"/>
  <c r="N134"/>
  <c r="M134"/>
  <c r="L134"/>
  <c r="K134"/>
  <c r="H134"/>
  <c r="I133"/>
  <c r="J133"/>
  <c r="G133" s="1"/>
  <c r="Q132"/>
  <c r="P132"/>
  <c r="O132"/>
  <c r="N132"/>
  <c r="M132"/>
  <c r="L132"/>
  <c r="K132"/>
  <c r="H132"/>
  <c r="I131"/>
  <c r="J131"/>
  <c r="G131" s="1"/>
  <c r="I130"/>
  <c r="J130"/>
  <c r="G130" s="1"/>
  <c r="I129"/>
  <c r="J129"/>
  <c r="G129" s="1"/>
  <c r="Q128"/>
  <c r="P128"/>
  <c r="O128"/>
  <c r="N128"/>
  <c r="M128"/>
  <c r="L128"/>
  <c r="K128"/>
  <c r="H128"/>
  <c r="I127"/>
  <c r="J127"/>
  <c r="G127" s="1"/>
  <c r="I126"/>
  <c r="J126"/>
  <c r="G126" s="1"/>
  <c r="Q125"/>
  <c r="P125"/>
  <c r="O125"/>
  <c r="N125"/>
  <c r="M125"/>
  <c r="L125"/>
  <c r="K125"/>
  <c r="H125"/>
  <c r="Q124"/>
  <c r="I124"/>
  <c r="J124"/>
  <c r="Q123"/>
  <c r="I123"/>
  <c r="J123"/>
  <c r="O122"/>
  <c r="N122"/>
  <c r="M122"/>
  <c r="L122"/>
  <c r="K122"/>
  <c r="H122"/>
  <c r="I121"/>
  <c r="J121"/>
  <c r="G121" s="1"/>
  <c r="N120"/>
  <c r="N297" s="1"/>
  <c r="I120"/>
  <c r="Q119"/>
  <c r="P119"/>
  <c r="O119"/>
  <c r="L119"/>
  <c r="K119"/>
  <c r="H119"/>
  <c r="Q117"/>
  <c r="I117"/>
  <c r="J117"/>
  <c r="G161" l="1"/>
  <c r="F161" s="1"/>
  <c r="G321"/>
  <c r="G320" s="1"/>
  <c r="Q314" s="1"/>
  <c r="P314" s="1"/>
  <c r="O314" s="1"/>
  <c r="N314" s="1"/>
  <c r="M314" s="1"/>
  <c r="L314" s="1"/>
  <c r="I314" s="1"/>
  <c r="K314" s="1"/>
  <c r="J314" s="1"/>
  <c r="H314" s="1"/>
  <c r="G173"/>
  <c r="F173" s="1"/>
  <c r="G212"/>
  <c r="I350"/>
  <c r="K350" s="1"/>
  <c r="I309"/>
  <c r="I308" s="1"/>
  <c r="G262"/>
  <c r="G207"/>
  <c r="F207" s="1"/>
  <c r="G315"/>
  <c r="G254"/>
  <c r="I207"/>
  <c r="F128"/>
  <c r="L309"/>
  <c r="L308" s="1"/>
  <c r="Q298"/>
  <c r="Q115"/>
  <c r="G273"/>
  <c r="F273" s="1"/>
  <c r="L155"/>
  <c r="J155" s="1"/>
  <c r="G251"/>
  <c r="G348"/>
  <c r="Q346" s="1"/>
  <c r="G159"/>
  <c r="F159" s="1"/>
  <c r="G249"/>
  <c r="G185"/>
  <c r="F185" s="1"/>
  <c r="G327"/>
  <c r="G221"/>
  <c r="F221" s="1"/>
  <c r="I220" s="1"/>
  <c r="I345" s="1"/>
  <c r="I344" s="1"/>
  <c r="G196"/>
  <c r="F196" s="1"/>
  <c r="G183"/>
  <c r="F183" s="1"/>
  <c r="G164"/>
  <c r="F164" s="1"/>
  <c r="G352"/>
  <c r="G209"/>
  <c r="F209" s="1"/>
  <c r="I208" s="1"/>
  <c r="I339" s="1"/>
  <c r="G247"/>
  <c r="G351" s="1"/>
  <c r="J122"/>
  <c r="Q326"/>
  <c r="P326" s="1"/>
  <c r="O326" s="1"/>
  <c r="N326" s="1"/>
  <c r="M326" s="1"/>
  <c r="L326" s="1"/>
  <c r="I326" s="1"/>
  <c r="K326" s="1"/>
  <c r="J326" s="1"/>
  <c r="H326" s="1"/>
  <c r="G287"/>
  <c r="G332"/>
  <c r="J120"/>
  <c r="G120" s="1"/>
  <c r="F119" s="1"/>
  <c r="Q122"/>
  <c r="J132"/>
  <c r="G132" s="1"/>
  <c r="F132" s="1"/>
  <c r="J143"/>
  <c r="J350"/>
  <c r="H350" s="1"/>
  <c r="G194"/>
  <c r="F194" s="1"/>
  <c r="G166"/>
  <c r="F166" s="1"/>
  <c r="G258"/>
  <c r="G216"/>
  <c r="F216" s="1"/>
  <c r="M119"/>
  <c r="G123"/>
  <c r="G135"/>
  <c r="J139"/>
  <c r="G139" s="1"/>
  <c r="F139" s="1"/>
  <c r="N141"/>
  <c r="Q143"/>
  <c r="J298"/>
  <c r="G124"/>
  <c r="J128"/>
  <c r="G128" s="1"/>
  <c r="J134"/>
  <c r="J142"/>
  <c r="G142" s="1"/>
  <c r="G144"/>
  <c r="G147"/>
  <c r="J153"/>
  <c r="G153" s="1"/>
  <c r="F153" s="1"/>
  <c r="G356"/>
  <c r="Q352" s="1"/>
  <c r="Q350" s="1"/>
  <c r="P350" s="1"/>
  <c r="O350" s="1"/>
  <c r="N350" s="1"/>
  <c r="M350" s="1"/>
  <c r="L350" s="1"/>
  <c r="I173"/>
  <c r="G246"/>
  <c r="F246" s="1"/>
  <c r="G345"/>
  <c r="J125"/>
  <c r="G125" s="1"/>
  <c r="F125" s="1"/>
  <c r="G349"/>
  <c r="Q348" s="1"/>
  <c r="N119"/>
  <c r="M141"/>
  <c r="J146"/>
  <c r="J148"/>
  <c r="G148" s="1"/>
  <c r="F148" s="1"/>
  <c r="G256"/>
  <c r="G237"/>
  <c r="F237" s="1"/>
  <c r="G204"/>
  <c r="F204" s="1"/>
  <c r="G192"/>
  <c r="F192" s="1"/>
  <c r="Q297"/>
  <c r="G145"/>
  <c r="G307" s="1"/>
  <c r="I298"/>
  <c r="Q303"/>
  <c r="J156"/>
  <c r="G156" s="1"/>
  <c r="F212"/>
  <c r="G117"/>
  <c r="G298" s="1"/>
  <c r="G154"/>
  <c r="G309" s="1"/>
  <c r="J345"/>
  <c r="J344" s="1"/>
  <c r="H344" s="1"/>
  <c r="I303"/>
  <c r="I302" s="1"/>
  <c r="I321"/>
  <c r="I320" s="1"/>
  <c r="N302"/>
  <c r="M302" s="1"/>
  <c r="Q308"/>
  <c r="I119"/>
  <c r="I122"/>
  <c r="I125"/>
  <c r="I128"/>
  <c r="I132"/>
  <c r="I134"/>
  <c r="Q134"/>
  <c r="I139"/>
  <c r="I141"/>
  <c r="I143"/>
  <c r="I146"/>
  <c r="Q146"/>
  <c r="I148"/>
  <c r="I153"/>
  <c r="I155"/>
  <c r="Q155"/>
  <c r="K297"/>
  <c r="J116"/>
  <c r="H115"/>
  <c r="I115" s="1"/>
  <c r="Q114"/>
  <c r="I114"/>
  <c r="J114"/>
  <c r="Q113"/>
  <c r="I113"/>
  <c r="J113"/>
  <c r="Q112"/>
  <c r="I112"/>
  <c r="J112"/>
  <c r="M297"/>
  <c r="L297"/>
  <c r="I111"/>
  <c r="P110"/>
  <c r="O110"/>
  <c r="N110"/>
  <c r="L110"/>
  <c r="K110"/>
  <c r="H110"/>
  <c r="I109"/>
  <c r="J109"/>
  <c r="G109" s="1"/>
  <c r="Q108"/>
  <c r="P108"/>
  <c r="O108"/>
  <c r="N108"/>
  <c r="M108"/>
  <c r="L108"/>
  <c r="K108"/>
  <c r="H108"/>
  <c r="I106"/>
  <c r="J106"/>
  <c r="G106" s="1"/>
  <c r="I105"/>
  <c r="J105"/>
  <c r="G105" s="1"/>
  <c r="O104"/>
  <c r="N104"/>
  <c r="M104"/>
  <c r="L104"/>
  <c r="K104"/>
  <c r="H104"/>
  <c r="I103"/>
  <c r="J103"/>
  <c r="G103" s="1"/>
  <c r="I102"/>
  <c r="J102"/>
  <c r="G102" s="1"/>
  <c r="O101"/>
  <c r="N101"/>
  <c r="M101"/>
  <c r="L101"/>
  <c r="K101"/>
  <c r="H101"/>
  <c r="Q100"/>
  <c r="I100"/>
  <c r="J100"/>
  <c r="Q99"/>
  <c r="I99"/>
  <c r="J99"/>
  <c r="O98"/>
  <c r="N98"/>
  <c r="M98"/>
  <c r="L98"/>
  <c r="K98"/>
  <c r="H98"/>
  <c r="Q97"/>
  <c r="I97"/>
  <c r="J97"/>
  <c r="O96"/>
  <c r="N96"/>
  <c r="M96"/>
  <c r="L96"/>
  <c r="K96"/>
  <c r="H96"/>
  <c r="Q95"/>
  <c r="I95"/>
  <c r="J95"/>
  <c r="Q94"/>
  <c r="I94"/>
  <c r="J94"/>
  <c r="Q93"/>
  <c r="I93"/>
  <c r="J93"/>
  <c r="P92"/>
  <c r="O92"/>
  <c r="N92"/>
  <c r="M92"/>
  <c r="L92"/>
  <c r="K92"/>
  <c r="H92"/>
  <c r="I91"/>
  <c r="J91"/>
  <c r="G91" s="1"/>
  <c r="Q90"/>
  <c r="P90"/>
  <c r="O90"/>
  <c r="N90"/>
  <c r="M90"/>
  <c r="L90"/>
  <c r="K90"/>
  <c r="H90"/>
  <c r="I89"/>
  <c r="J89"/>
  <c r="G89" s="1"/>
  <c r="O88"/>
  <c r="O87" s="1"/>
  <c r="I88"/>
  <c r="Q87"/>
  <c r="P87"/>
  <c r="N87"/>
  <c r="M87"/>
  <c r="L87"/>
  <c r="K87"/>
  <c r="H87"/>
  <c r="Q84"/>
  <c r="I84"/>
  <c r="J84"/>
  <c r="O83"/>
  <c r="N83"/>
  <c r="M83"/>
  <c r="L83"/>
  <c r="K83"/>
  <c r="H83"/>
  <c r="G95" l="1"/>
  <c r="G326"/>
  <c r="Q324" s="1"/>
  <c r="Q320" s="1"/>
  <c r="G314"/>
  <c r="J309"/>
  <c r="J308" s="1"/>
  <c r="Q92"/>
  <c r="I301"/>
  <c r="G308"/>
  <c r="Q307" s="1"/>
  <c r="Q302" s="1"/>
  <c r="J119"/>
  <c r="G119" s="1"/>
  <c r="G146"/>
  <c r="F146" s="1"/>
  <c r="J141"/>
  <c r="G141" s="1"/>
  <c r="F141" s="1"/>
  <c r="G350"/>
  <c r="Q349" s="1"/>
  <c r="Q344" s="1"/>
  <c r="P344" s="1"/>
  <c r="O344" s="1"/>
  <c r="N344" s="1"/>
  <c r="M344" s="1"/>
  <c r="L344" s="1"/>
  <c r="G122"/>
  <c r="F122" s="1"/>
  <c r="G155"/>
  <c r="F155" s="1"/>
  <c r="J303"/>
  <c r="J302" s="1"/>
  <c r="G97"/>
  <c r="G143"/>
  <c r="F143" s="1"/>
  <c r="J111"/>
  <c r="G111" s="1"/>
  <c r="J301"/>
  <c r="G303"/>
  <c r="G302" s="1"/>
  <c r="G84"/>
  <c r="G344"/>
  <c r="Q339" s="1"/>
  <c r="Q338" s="1"/>
  <c r="P338" s="1"/>
  <c r="O338" s="1"/>
  <c r="N338" s="1"/>
  <c r="M338" s="1"/>
  <c r="L338" s="1"/>
  <c r="I338" s="1"/>
  <c r="K338" s="1"/>
  <c r="J338" s="1"/>
  <c r="H338" s="1"/>
  <c r="G338" s="1"/>
  <c r="Q335" s="1"/>
  <c r="Q287" s="1"/>
  <c r="J87"/>
  <c r="G87" s="1"/>
  <c r="F87" s="1"/>
  <c r="J83"/>
  <c r="G99"/>
  <c r="J98"/>
  <c r="J101"/>
  <c r="G101" s="1"/>
  <c r="F101" s="1"/>
  <c r="G116"/>
  <c r="J90"/>
  <c r="G90" s="1"/>
  <c r="F90" s="1"/>
  <c r="G93"/>
  <c r="G100"/>
  <c r="J104"/>
  <c r="G104" s="1"/>
  <c r="F104" s="1"/>
  <c r="J108"/>
  <c r="G108" s="1"/>
  <c r="F108" s="1"/>
  <c r="G113"/>
  <c r="G134"/>
  <c r="F134" s="1"/>
  <c r="J92"/>
  <c r="G94"/>
  <c r="J96"/>
  <c r="Q110"/>
  <c r="G114"/>
  <c r="J88"/>
  <c r="G88" s="1"/>
  <c r="M110"/>
  <c r="J110" s="1"/>
  <c r="G112"/>
  <c r="I83"/>
  <c r="Q83"/>
  <c r="I87"/>
  <c r="I90"/>
  <c r="I92"/>
  <c r="I96"/>
  <c r="Q96"/>
  <c r="I98"/>
  <c r="Q98"/>
  <c r="I101"/>
  <c r="I104"/>
  <c r="I108"/>
  <c r="I110"/>
  <c r="I116"/>
  <c r="I297" s="1"/>
  <c r="Q301"/>
  <c r="Q296" s="1"/>
  <c r="P296" s="1"/>
  <c r="O296" s="1"/>
  <c r="N296" s="1"/>
  <c r="M296" s="1"/>
  <c r="L296" s="1"/>
  <c r="G83" l="1"/>
  <c r="F83" s="1"/>
  <c r="G301"/>
  <c r="G92"/>
  <c r="F92" s="1"/>
  <c r="G115"/>
  <c r="F115" s="1"/>
  <c r="J297"/>
  <c r="G297"/>
  <c r="G96"/>
  <c r="F96" s="1"/>
  <c r="Q332"/>
  <c r="G110"/>
  <c r="F110" s="1"/>
  <c r="G98"/>
  <c r="F98" s="1"/>
  <c r="I296"/>
  <c r="K296" s="1"/>
  <c r="I82"/>
  <c r="J82"/>
  <c r="G82" s="1"/>
  <c r="I81"/>
  <c r="J81"/>
  <c r="G81" s="1"/>
  <c r="I80"/>
  <c r="J80"/>
  <c r="G80" s="1"/>
  <c r="F79" s="1"/>
  <c r="Q79"/>
  <c r="P79"/>
  <c r="O79"/>
  <c r="N79"/>
  <c r="M79"/>
  <c r="L79"/>
  <c r="K79"/>
  <c r="H79"/>
  <c r="Q78"/>
  <c r="I78"/>
  <c r="J78"/>
  <c r="Q77"/>
  <c r="I77"/>
  <c r="J77"/>
  <c r="O76"/>
  <c r="N76"/>
  <c r="M76"/>
  <c r="L76"/>
  <c r="K76"/>
  <c r="H76"/>
  <c r="I72"/>
  <c r="J72"/>
  <c r="G72" s="1"/>
  <c r="Q71"/>
  <c r="P71"/>
  <c r="O71"/>
  <c r="N71"/>
  <c r="M71"/>
  <c r="L71"/>
  <c r="K71"/>
  <c r="H71"/>
  <c r="J296" l="1"/>
  <c r="H296" s="1"/>
  <c r="J71"/>
  <c r="G71" s="1"/>
  <c r="F71" s="1"/>
  <c r="G77"/>
  <c r="G296"/>
  <c r="G78"/>
  <c r="J79"/>
  <c r="G79" s="1"/>
  <c r="J76"/>
  <c r="I71"/>
  <c r="I76"/>
  <c r="Q76"/>
  <c r="I79"/>
  <c r="H290"/>
  <c r="Q70"/>
  <c r="Q69" s="1"/>
  <c r="I70"/>
  <c r="J70"/>
  <c r="P69"/>
  <c r="O69"/>
  <c r="N69"/>
  <c r="M69"/>
  <c r="L69"/>
  <c r="K69"/>
  <c r="H69"/>
  <c r="Q68"/>
  <c r="I68"/>
  <c r="J68"/>
  <c r="Q67"/>
  <c r="I67"/>
  <c r="J67"/>
  <c r="Q66"/>
  <c r="J66"/>
  <c r="P65"/>
  <c r="O65"/>
  <c r="N65"/>
  <c r="M65"/>
  <c r="L65"/>
  <c r="K65"/>
  <c r="H65"/>
  <c r="Q64"/>
  <c r="I64"/>
  <c r="J64"/>
  <c r="Q63"/>
  <c r="I63"/>
  <c r="J63"/>
  <c r="I62"/>
  <c r="J62"/>
  <c r="G62" s="1"/>
  <c r="P61"/>
  <c r="O61"/>
  <c r="N61"/>
  <c r="M61"/>
  <c r="L61"/>
  <c r="K61"/>
  <c r="H61"/>
  <c r="I60"/>
  <c r="J60"/>
  <c r="G60" s="1"/>
  <c r="Q59"/>
  <c r="I59"/>
  <c r="J59"/>
  <c r="Q58"/>
  <c r="I58"/>
  <c r="J58"/>
  <c r="P57"/>
  <c r="O57"/>
  <c r="N57"/>
  <c r="M57"/>
  <c r="L57" s="1"/>
  <c r="K57"/>
  <c r="H57"/>
  <c r="O56"/>
  <c r="O291" s="1"/>
  <c r="M56"/>
  <c r="I56"/>
  <c r="Q55"/>
  <c r="P55"/>
  <c r="N55"/>
  <c r="L55"/>
  <c r="K55"/>
  <c r="H55"/>
  <c r="Q54"/>
  <c r="I54"/>
  <c r="J54"/>
  <c r="O53"/>
  <c r="N53"/>
  <c r="M53"/>
  <c r="L53"/>
  <c r="K53"/>
  <c r="H53"/>
  <c r="Q52"/>
  <c r="J52"/>
  <c r="Q51"/>
  <c r="I51"/>
  <c r="J51"/>
  <c r="O50"/>
  <c r="N50"/>
  <c r="M50"/>
  <c r="L50"/>
  <c r="K50"/>
  <c r="H50"/>
  <c r="I48"/>
  <c r="J48"/>
  <c r="G48" s="1"/>
  <c r="F47" s="1"/>
  <c r="K47"/>
  <c r="H47"/>
  <c r="I46"/>
  <c r="J46"/>
  <c r="G46" s="1"/>
  <c r="Q45"/>
  <c r="P45"/>
  <c r="O45"/>
  <c r="N45"/>
  <c r="M45"/>
  <c r="L45"/>
  <c r="K45"/>
  <c r="H45"/>
  <c r="Q44"/>
  <c r="I44"/>
  <c r="J44"/>
  <c r="Q43"/>
  <c r="I43"/>
  <c r="J43"/>
  <c r="P42"/>
  <c r="O42"/>
  <c r="N42"/>
  <c r="M42"/>
  <c r="L42"/>
  <c r="K42"/>
  <c r="H42"/>
  <c r="Q41"/>
  <c r="Q39" s="1"/>
  <c r="I41"/>
  <c r="J41"/>
  <c r="I40"/>
  <c r="J40"/>
  <c r="G40" s="1"/>
  <c r="P39"/>
  <c r="O39"/>
  <c r="N39"/>
  <c r="M39"/>
  <c r="L39"/>
  <c r="K39"/>
  <c r="H39"/>
  <c r="Q38"/>
  <c r="I38"/>
  <c r="J38"/>
  <c r="G38" s="1"/>
  <c r="Q37"/>
  <c r="I37"/>
  <c r="J37"/>
  <c r="P36"/>
  <c r="O36"/>
  <c r="N36"/>
  <c r="M36"/>
  <c r="L36"/>
  <c r="K36"/>
  <c r="H36"/>
  <c r="Q35"/>
  <c r="Q33" s="1"/>
  <c r="I35"/>
  <c r="J35"/>
  <c r="I34"/>
  <c r="J34"/>
  <c r="G34" s="1"/>
  <c r="P33"/>
  <c r="O33"/>
  <c r="N33"/>
  <c r="M33"/>
  <c r="L33"/>
  <c r="K33"/>
  <c r="H33"/>
  <c r="I32"/>
  <c r="J32"/>
  <c r="G32" s="1"/>
  <c r="I31"/>
  <c r="J31"/>
  <c r="Q30"/>
  <c r="P30"/>
  <c r="O30"/>
  <c r="N30"/>
  <c r="M30"/>
  <c r="L30"/>
  <c r="K30"/>
  <c r="H30"/>
  <c r="Q29"/>
  <c r="I29"/>
  <c r="J29"/>
  <c r="Q28"/>
  <c r="I28"/>
  <c r="J28"/>
  <c r="G28" s="1"/>
  <c r="P27"/>
  <c r="O27"/>
  <c r="N27"/>
  <c r="M27"/>
  <c r="L27"/>
  <c r="K27"/>
  <c r="H27"/>
  <c r="Q26"/>
  <c r="I26"/>
  <c r="J26"/>
  <c r="Q25"/>
  <c r="I25"/>
  <c r="J25"/>
  <c r="Q24"/>
  <c r="G63" l="1"/>
  <c r="G76"/>
  <c r="F76" s="1"/>
  <c r="G47"/>
  <c r="G31"/>
  <c r="G59"/>
  <c r="Q61"/>
  <c r="G41"/>
  <c r="O55"/>
  <c r="Q42"/>
  <c r="J57"/>
  <c r="G58"/>
  <c r="J36"/>
  <c r="G25"/>
  <c r="J50"/>
  <c r="G51"/>
  <c r="G64"/>
  <c r="J65"/>
  <c r="G26"/>
  <c r="J33"/>
  <c r="G44"/>
  <c r="G52"/>
  <c r="Q65"/>
  <c r="G29"/>
  <c r="G54"/>
  <c r="J30"/>
  <c r="G30" s="1"/>
  <c r="F30" s="1"/>
  <c r="G66"/>
  <c r="G33"/>
  <c r="G35"/>
  <c r="J27"/>
  <c r="G37"/>
  <c r="J39"/>
  <c r="G39" s="1"/>
  <c r="F39" s="1"/>
  <c r="G43"/>
  <c r="J45"/>
  <c r="G45" s="1"/>
  <c r="F45" s="1"/>
  <c r="I294"/>
  <c r="I288" s="1"/>
  <c r="K288" s="1"/>
  <c r="G68"/>
  <c r="J69"/>
  <c r="G69" s="1"/>
  <c r="F69" s="1"/>
  <c r="J53"/>
  <c r="J56"/>
  <c r="G56" s="1"/>
  <c r="J61"/>
  <c r="J42"/>
  <c r="M55"/>
  <c r="Q294"/>
  <c r="Q288" s="1"/>
  <c r="G67"/>
  <c r="Q57"/>
  <c r="J294"/>
  <c r="J288" s="1"/>
  <c r="G70"/>
  <c r="K285"/>
  <c r="I27"/>
  <c r="Q27"/>
  <c r="I30"/>
  <c r="I33"/>
  <c r="I36"/>
  <c r="Q36"/>
  <c r="I39"/>
  <c r="I42"/>
  <c r="I45"/>
  <c r="I47"/>
  <c r="I50"/>
  <c r="Q50"/>
  <c r="I53"/>
  <c r="Q53"/>
  <c r="G53" s="1"/>
  <c r="F53" s="1"/>
  <c r="I55"/>
  <c r="I57"/>
  <c r="I61"/>
  <c r="I65"/>
  <c r="I66"/>
  <c r="I69"/>
  <c r="J24"/>
  <c r="G24" s="1"/>
  <c r="Q23" s="1"/>
  <c r="I24"/>
  <c r="P23"/>
  <c r="O23"/>
  <c r="N23"/>
  <c r="M23"/>
  <c r="F57" l="1"/>
  <c r="G50"/>
  <c r="F50" s="1"/>
  <c r="G65"/>
  <c r="G294"/>
  <c r="G288" s="1"/>
  <c r="G57"/>
  <c r="J55"/>
  <c r="G55" s="1"/>
  <c r="F55" s="1"/>
  <c r="G42"/>
  <c r="F42" s="1"/>
  <c r="G36"/>
  <c r="F36" s="1"/>
  <c r="G61"/>
  <c r="F61" s="1"/>
  <c r="G27"/>
  <c r="F27" s="1"/>
  <c r="F33"/>
  <c r="F65"/>
  <c r="L23"/>
  <c r="J23" s="1"/>
  <c r="K23"/>
  <c r="H23"/>
  <c r="Q22"/>
  <c r="I22"/>
  <c r="J22"/>
  <c r="Q21"/>
  <c r="I21"/>
  <c r="J21"/>
  <c r="P20"/>
  <c r="O20"/>
  <c r="N20"/>
  <c r="M20"/>
  <c r="L20"/>
  <c r="K20"/>
  <c r="H20"/>
  <c r="Q19"/>
  <c r="I19"/>
  <c r="J19"/>
  <c r="Q18"/>
  <c r="I18"/>
  <c r="J18"/>
  <c r="P17"/>
  <c r="O17"/>
  <c r="N17"/>
  <c r="M17"/>
  <c r="L17"/>
  <c r="K17"/>
  <c r="H17"/>
  <c r="I15"/>
  <c r="J15"/>
  <c r="I14"/>
  <c r="J14"/>
  <c r="G14" s="1"/>
  <c r="K13"/>
  <c r="H13"/>
  <c r="Q12"/>
  <c r="Q10" s="1"/>
  <c r="I12"/>
  <c r="J12"/>
  <c r="I11"/>
  <c r="J11"/>
  <c r="G11" s="1"/>
  <c r="P10"/>
  <c r="O10"/>
  <c r="N10"/>
  <c r="M10"/>
  <c r="L10"/>
  <c r="K10"/>
  <c r="H10"/>
  <c r="Q9"/>
  <c r="Q295" s="1"/>
  <c r="I9"/>
  <c r="J9"/>
  <c r="I295" l="1"/>
  <c r="I289" s="1"/>
  <c r="Q291"/>
  <c r="J295"/>
  <c r="J289" s="1"/>
  <c r="I292"/>
  <c r="I286" s="1"/>
  <c r="Q292"/>
  <c r="Q286" s="1"/>
  <c r="G15"/>
  <c r="F13" s="1"/>
  <c r="J292"/>
  <c r="G21"/>
  <c r="G12"/>
  <c r="J13"/>
  <c r="G13" s="1"/>
  <c r="J10"/>
  <c r="G10" s="1"/>
  <c r="G18"/>
  <c r="J20"/>
  <c r="G22"/>
  <c r="J17"/>
  <c r="G19"/>
  <c r="I23"/>
  <c r="G23"/>
  <c r="F23" s="1"/>
  <c r="I10"/>
  <c r="I13"/>
  <c r="I17"/>
  <c r="Q17"/>
  <c r="I20"/>
  <c r="Q20"/>
  <c r="G9"/>
  <c r="M8"/>
  <c r="M291" s="1"/>
  <c r="I8"/>
  <c r="I291" s="1"/>
  <c r="Q7"/>
  <c r="P7"/>
  <c r="O7"/>
  <c r="N7"/>
  <c r="K7"/>
  <c r="H7"/>
  <c r="M7" l="1"/>
  <c r="G295"/>
  <c r="G289" s="1"/>
  <c r="G292"/>
  <c r="G286" s="1"/>
  <c r="F10"/>
  <c r="J8"/>
  <c r="J291" s="1"/>
  <c r="G20"/>
  <c r="F20" s="1"/>
  <c r="G17"/>
  <c r="F17" s="1"/>
  <c r="L7"/>
  <c r="K286"/>
  <c r="K290"/>
  <c r="Q290"/>
  <c r="Q284" s="1"/>
  <c r="Q285"/>
  <c r="I7"/>
  <c r="J7" l="1"/>
  <c r="G7" s="1"/>
  <c r="F7" s="1"/>
  <c r="J285"/>
  <c r="G8"/>
  <c r="G291" s="1"/>
  <c r="J286"/>
  <c r="P290"/>
  <c r="P284" s="1"/>
  <c r="P285"/>
  <c r="G290" l="1"/>
  <c r="G284" s="1"/>
  <c r="J290"/>
  <c r="J284" s="1"/>
  <c r="H284" s="1"/>
  <c r="Q289"/>
  <c r="O290"/>
  <c r="O284" s="1"/>
  <c r="O285"/>
  <c r="G285" l="1"/>
  <c r="N290"/>
  <c r="N284" s="1"/>
  <c r="N285"/>
  <c r="M290" l="1"/>
  <c r="M284" s="1"/>
  <c r="M285"/>
  <c r="L290" l="1"/>
  <c r="L284" s="1"/>
  <c r="L285"/>
  <c r="I290" l="1"/>
  <c r="I284" s="1"/>
  <c r="K284" s="1"/>
  <c r="I285"/>
</calcChain>
</file>

<file path=xl/sharedStrings.xml><?xml version="1.0" encoding="utf-8"?>
<sst xmlns="http://schemas.openxmlformats.org/spreadsheetml/2006/main" count="579" uniqueCount="280">
  <si>
    <t>po 2019</t>
  </si>
  <si>
    <t>L.p.</t>
  </si>
  <si>
    <t>Nazwa zadania</t>
  </si>
  <si>
    <t>Realizujący</t>
  </si>
  <si>
    <t>lata realizacji</t>
  </si>
  <si>
    <t>Nakłady [ w tys. zł ]</t>
  </si>
  <si>
    <t>ogółem śr. Budżetwe</t>
  </si>
  <si>
    <t>ogółem</t>
  </si>
  <si>
    <t>do 2014</t>
  </si>
  <si>
    <t>w latach planu</t>
  </si>
  <si>
    <t>1.</t>
  </si>
  <si>
    <t>2.</t>
  </si>
  <si>
    <t>3.</t>
  </si>
  <si>
    <t>4.</t>
  </si>
  <si>
    <t>5.</t>
  </si>
  <si>
    <t>6.</t>
  </si>
  <si>
    <t>10.</t>
  </si>
  <si>
    <t>11.</t>
  </si>
  <si>
    <t>12.</t>
  </si>
  <si>
    <t>13.</t>
  </si>
  <si>
    <t xml:space="preserve">TRANSPORT I ŁĄCZNOŚĆ </t>
  </si>
  <si>
    <t>Prace przygotowawcze i zadania towarzyszące inwestycjom drogowym</t>
  </si>
  <si>
    <t>2004
2020</t>
  </si>
  <si>
    <t>Środki własne</t>
  </si>
  <si>
    <t>Środki pozostałe - MPWiK</t>
  </si>
  <si>
    <t>Budowa nowych sygnalizacji świetlnych</t>
  </si>
  <si>
    <t>ZDiUM
WI</t>
  </si>
  <si>
    <t>2001
2019</t>
  </si>
  <si>
    <t>Środki pozostałe</t>
  </si>
  <si>
    <t xml:space="preserve">Program rowerowy </t>
  </si>
  <si>
    <t>2006
2020</t>
  </si>
  <si>
    <t xml:space="preserve">Rozbudowa układu komunikacyjnego w obrębie osiedla Psie Pole </t>
  </si>
  <si>
    <t>2008
2015</t>
  </si>
  <si>
    <t>Przebudowa ul. Bardzkiej w ciągu drogi wojewódzkiej nr 395 we Wrocławiu</t>
  </si>
  <si>
    <t xml:space="preserve">Spółka WI </t>
  </si>
  <si>
    <t>2008
2016</t>
  </si>
  <si>
    <t>Środki UE</t>
  </si>
  <si>
    <t xml:space="preserve">Zintegrowany System Transportu Szynowego w Aglomeracji we Wrocławiu - etap I </t>
  </si>
  <si>
    <t>Środki pozostałe -  MPK</t>
  </si>
  <si>
    <t>Zintegrowany System Transportu Szynowego w Aglomeracji we Wrocławiu - etap II</t>
  </si>
  <si>
    <t>Budowa wydzielonej trasy masowego ekologicznego transportu zbiorowego we Wrocławiu - METROBUS</t>
  </si>
  <si>
    <t>2016
2019</t>
  </si>
  <si>
    <t xml:space="preserve">Przebudowa ul.Wojanowskiej </t>
  </si>
  <si>
    <t>2015
2016</t>
  </si>
  <si>
    <t>2016
2017</t>
  </si>
  <si>
    <t xml:space="preserve">Udział Miasta w budowie Wschodniej Obwodnicy Wrocławia </t>
  </si>
  <si>
    <t>2017
2019</t>
  </si>
  <si>
    <t>Program poprawy stanu technicznego infrastruktury drogowej</t>
  </si>
  <si>
    <t>ZDiUM
Spółka WI
ZIM
WIM</t>
  </si>
  <si>
    <t>2008
2020</t>
  </si>
  <si>
    <t xml:space="preserve">Budowa obwodnicy osiedla Leśnica od ul. Średzkiej do ul. Granicznej we Wrocławiu  </t>
  </si>
  <si>
    <t>Spółka WI</t>
  </si>
  <si>
    <t xml:space="preserve">Zagospodarowanie terenu wschodniego  pomiędzy obszarem stadionu i rzeką Ślęzą </t>
  </si>
  <si>
    <t>2009
2015</t>
  </si>
  <si>
    <t>Przebudowa ul. Kosmonautów w ciągu drogi krajowej nr 94 we Wrocławiu- etap I</t>
  </si>
  <si>
    <t>Przebudowa ul.Buforowej w ciągu drogi wojewódzkiej nr 395 we Wrocławiu</t>
  </si>
  <si>
    <t>2008
2018</t>
  </si>
  <si>
    <t>Inteligentny System Transportu "ITS Wrocław"</t>
  </si>
  <si>
    <t>2010
2015</t>
  </si>
  <si>
    <t>Poprawa funkcjonalności komunikacyjnej w rejonie centrum</t>
  </si>
  <si>
    <t>Spółka WI
ZIM</t>
  </si>
  <si>
    <t>2012
2015</t>
  </si>
  <si>
    <t>Przebudowa ul.  Starogroblowej</t>
  </si>
  <si>
    <t>2008
2017</t>
  </si>
  <si>
    <t>Program inicjatyw lokalnych</t>
  </si>
  <si>
    <t>2000
2019</t>
  </si>
  <si>
    <t>GFOŚ</t>
  </si>
  <si>
    <t xml:space="preserve">Budowa ul.Racławickiej </t>
  </si>
  <si>
    <t xml:space="preserve">
Spółka WI </t>
  </si>
  <si>
    <t>WFOŚ</t>
  </si>
  <si>
    <t>MAN Wrocław. Wrocławska sieć teleinformatyczna na potrzeby sprawnego zarządzania  miastem</t>
  </si>
  <si>
    <t>2009
2019</t>
  </si>
  <si>
    <t xml:space="preserve">Przebudowa ul. Lotniczej w ciągu drogi krajowej nr 94 we Wrocławiu - etap II </t>
  </si>
  <si>
    <t>Przebudowa ul.  Okulickiego</t>
  </si>
  <si>
    <t>2014
2015</t>
  </si>
  <si>
    <t>Rozbudowa ul.Czajkowskiego na odc. od ul. Asnyka do ul. Długosza</t>
  </si>
  <si>
    <t>Rozbudowa układu drogowego w rejonie ulic Parafialnej i Pawiej</t>
  </si>
  <si>
    <t>Spólka WI</t>
  </si>
  <si>
    <t>2010
2016</t>
  </si>
  <si>
    <t>Przebudowa strefy wejścia i parkingu w rejonie cmentarza Grabiszyńskiego</t>
  </si>
  <si>
    <t>2007
2017</t>
  </si>
  <si>
    <t>Rozbudowa ul.Osobowickiej od Obwodnicy Śródmiejskiej Wrocławia do ul.Lipskiej</t>
  </si>
  <si>
    <t>Rozbudowa układu drogowego w rejonie ulic Na Grobli i  Międzyrzeckiej wraz z budową zatok postojowych</t>
  </si>
  <si>
    <t xml:space="preserve">Przebudowa ul.Mościckiego od ul. Topolowej do ul.Ziemniaczanej </t>
  </si>
  <si>
    <t>2014
2016</t>
  </si>
  <si>
    <t>Rozbudowa zajezdni autobusowej przy ul. Obornickiej</t>
  </si>
  <si>
    <t xml:space="preserve">Wrocławski Budżet Obywatelski </t>
  </si>
  <si>
    <t>DIG</t>
  </si>
  <si>
    <t>2014
2020</t>
  </si>
  <si>
    <t xml:space="preserve">Program przebudowy  gminnego zasobu mieszkaniowego </t>
  </si>
  <si>
    <t>2004
2019</t>
  </si>
  <si>
    <t>Program rozwoju terenów pod mieszkalnictwo</t>
  </si>
  <si>
    <t>2005                       2019</t>
  </si>
  <si>
    <t>Środki pozostałe - TBS</t>
  </si>
  <si>
    <t>Rewitalizacja miasta Wrocławia</t>
  </si>
  <si>
    <t>Budowa infrastruktury technicznej, dróg oraz miejskich obiektów użyteczności publicznej na osiedlu " Nowe Żerniki"</t>
  </si>
  <si>
    <t>Spółka WI
ZIM
BSiR</t>
  </si>
  <si>
    <t>2013
2017</t>
  </si>
  <si>
    <t>Środki pozostałe-MPWiK</t>
  </si>
  <si>
    <t>Program zagospodarowania wnętrz międzyblokowych i placów zabaw</t>
  </si>
  <si>
    <t>2005
2020</t>
  </si>
  <si>
    <t>Przebudowa budynku przy ul.Sołtysowickiej 19a i 21</t>
  </si>
  <si>
    <t>ZZK</t>
  </si>
  <si>
    <t xml:space="preserve">Program Rewitalizacji Przemieścia Oławskiego we Wrocławiu </t>
  </si>
  <si>
    <t>WOU</t>
  </si>
  <si>
    <t>2015
2019</t>
  </si>
  <si>
    <t xml:space="preserve">Modernizacja zabudowy mieszkaniowo-usługowej - pierzei wschodniej, północnej i zachodniej placu Nowy Targ </t>
  </si>
  <si>
    <t>Wrocławski Budżet Obywatelski</t>
  </si>
  <si>
    <t>Wykonanie  robót budowlanych w obiekcie przy ul. Grunwaldzkiej 12 B służącym rehabilitacji osób niepełnosprawnych</t>
  </si>
  <si>
    <t>2013
2015</t>
  </si>
  <si>
    <t>DZIAŁALNOŚĆ USŁUGOWA</t>
  </si>
  <si>
    <t xml:space="preserve">Program modernizacji cmentarzy komunalnych </t>
  </si>
  <si>
    <t>2007
2019</t>
  </si>
  <si>
    <t>Program rozwoju terenów pod aktywność gospodarczą</t>
  </si>
  <si>
    <t>Spółka WI
ZDiUM</t>
  </si>
  <si>
    <t>2006                    2017</t>
  </si>
  <si>
    <t>Środki pozostałe - MPWiK, Energia Pro</t>
  </si>
  <si>
    <t>Prace przygotowawcze i zadania towarzyszące inwestycjom infrastrukturalnym</t>
  </si>
  <si>
    <t xml:space="preserve">Budowa pasażu handlowego wraz z zagospodarowaniem terenu przyległego przy ul.B. Krzywoustego - etap II </t>
  </si>
  <si>
    <t>BRG</t>
  </si>
  <si>
    <t xml:space="preserve">Budowa nowego cmentarza przy ul.Awicenny - I etap </t>
  </si>
  <si>
    <t>ZIM</t>
  </si>
  <si>
    <t>2014
2019</t>
  </si>
  <si>
    <t xml:space="preserve">E- administracja </t>
  </si>
  <si>
    <t xml:space="preserve">Rozbudowa Systemu Informacji Przestrzennej </t>
  </si>
  <si>
    <t xml:space="preserve">Środki pozostałe </t>
  </si>
  <si>
    <t>Rozbudowa budynku Urzędu Miejskiego Wrocławia przy ul. G. Zapolskiej 2/4, Bogusławskiego, Świdnickiej</t>
  </si>
  <si>
    <t xml:space="preserve">Przebudowa Sali nr 215 w budynku Urzędu Miejskiego przy pl.Nowy Targ 1-8 we Wrocławia </t>
  </si>
  <si>
    <t xml:space="preserve">BEZPIECZEŃSTWO PUBLICZNE I OCHRONA PRZECIWPOŻAROWA </t>
  </si>
  <si>
    <t>WBZ</t>
  </si>
  <si>
    <t>Modernizacja i rozbudowa cyfrowej łączności radiowej TETRA</t>
  </si>
  <si>
    <t>Monitoring prewencyjny Wrocławia</t>
  </si>
  <si>
    <t xml:space="preserve">OŚWIATA I WYCHOWANIE </t>
  </si>
  <si>
    <t xml:space="preserve">Budowa i kompleksowa przebudowa budynków szkół podstawowych </t>
  </si>
  <si>
    <t xml:space="preserve">Budowa i kompleksowa przebudowa budynków przedszkoli </t>
  </si>
  <si>
    <t>2006
2019</t>
  </si>
  <si>
    <t xml:space="preserve">Budowa i kompleksowa przebudowa budynków gimnazjów </t>
  </si>
  <si>
    <t xml:space="preserve">Budowa i kompleksowa przebudowa szkół ponadgimnazjalnych </t>
  </si>
  <si>
    <t>2006
2018</t>
  </si>
  <si>
    <t xml:space="preserve">Budowa i przebudowa infrastruktury sportowej w obiektach oświatowych </t>
  </si>
  <si>
    <t>Wyposażenie szkół w pracownie fizyczne, chemiczne i biologiczne - EIT+</t>
  </si>
  <si>
    <t xml:space="preserve">Przebudowa pomieszczeń warsztatowych na potrzeby kształcenia praktycznego w Zespole Szkół nr 2 przy ul. Borowskiej we Wrocławiu </t>
  </si>
  <si>
    <t xml:space="preserve">ZIM </t>
  </si>
  <si>
    <t xml:space="preserve">Wrocławskie Centrum Nauki </t>
  </si>
  <si>
    <t xml:space="preserve">OCHRONA ZDROWIA </t>
  </si>
  <si>
    <t>2015
2017</t>
  </si>
  <si>
    <t xml:space="preserve">Przebudowa pomieszczeń  na potrzeby Centrum Neuropsychiatrii Neuromed </t>
  </si>
  <si>
    <t xml:space="preserve">Program Przebudowy Centrów Usług Socjalnych we Wrocławiu </t>
  </si>
  <si>
    <t>Komputeryzacja Ośrodków Pomocy Społecznej</t>
  </si>
  <si>
    <t>MOPS</t>
  </si>
  <si>
    <t>Program Przebudowy obiektów na potrzeby MOPS</t>
  </si>
  <si>
    <t xml:space="preserve">POZOSTAŁE ZADANIA W ZAKRESIE POLITYKI SPOŁECZNEJ </t>
  </si>
  <si>
    <t>Program budowy i przebudowy żłobków</t>
  </si>
  <si>
    <t>Przebudowa pomieszczeń w budynku przy ul. Glinianej 20-22 z przeznaczeniem dla Powiatowego Urzędu Pracy.</t>
  </si>
  <si>
    <t>Program poprawy jakości wody we Wrocławiu /FS/</t>
  </si>
  <si>
    <t>BFS</t>
  </si>
  <si>
    <t>2002
2017</t>
  </si>
  <si>
    <t>Środki pozostałe - EBOR</t>
  </si>
  <si>
    <t>Program modernizacji systemu odwodnienia Miasta</t>
  </si>
  <si>
    <t>GFOŚ, WFOŚ</t>
  </si>
  <si>
    <t>Rozbudowa infrastruktury sieciowej i drogowej w północnych osiedlach Wrocławia - udział Miasta</t>
  </si>
  <si>
    <t>ZIM
CUI
DIG</t>
  </si>
  <si>
    <t>2011
2018</t>
  </si>
  <si>
    <t>Realizacja Programu Rozwoju Usług Gospodarki Odpadami /FS/</t>
  </si>
  <si>
    <t xml:space="preserve">Program rewitalizacji zieleni, nabrzeży i wysp odrzańskich </t>
  </si>
  <si>
    <t xml:space="preserve">Program likwidacji niskiej emisji na terenie Wrocława </t>
  </si>
  <si>
    <t>WSR</t>
  </si>
  <si>
    <t>2014
2018</t>
  </si>
  <si>
    <t>Budowa i przebudowa oświetlenia ulic i miejsc niebezpiecznych</t>
  </si>
  <si>
    <t>ZDiUM
ZIM
ZZM</t>
  </si>
  <si>
    <t xml:space="preserve">Rewaloryzacja Parku Szczytnickiego </t>
  </si>
  <si>
    <t>ZZM</t>
  </si>
  <si>
    <t>2008
2021</t>
  </si>
  <si>
    <t>Zagospodarowanie terenu przy ul. Mącznej w Lasach Komunalnych Wrocławia</t>
  </si>
  <si>
    <t>2018
2019</t>
  </si>
  <si>
    <t xml:space="preserve">Rewitalizacja Bulwaru Xawerego Dunikowskiego we Wrocławiu </t>
  </si>
  <si>
    <t>2009
2016</t>
  </si>
  <si>
    <t>Środki pozostałe - Energia Pro</t>
  </si>
  <si>
    <t>Budowa Narodowego Forum Muzyki we Wrocławiu</t>
  </si>
  <si>
    <t>WKL
Spółka WI</t>
  </si>
  <si>
    <t>2004
2017</t>
  </si>
  <si>
    <t>Centrum Historii ZAJEZDNIA We Wrocławiu</t>
  </si>
  <si>
    <t>Modernizacja wystaw stałych w muzeach Wrocławia</t>
  </si>
  <si>
    <t>Przebudowa i modernizacja Wrocławskiego Klubu Formaty</t>
  </si>
  <si>
    <t>Przebudowa dawnego Baru Barbara na nowa siedzibę Biura Festiwalowego Impart 2016</t>
  </si>
  <si>
    <t xml:space="preserve">Centrum Kultury i Centrum Biblioteczne na Psim Polu </t>
  </si>
  <si>
    <t>Budowa Muzeum Współczesnego Wrocław</t>
  </si>
  <si>
    <t>Rewaloryzacja Zespołu Zabytkowych pomieszczeń Synagogi pod Białym Bocianem w ramach programu ścieżek kulturowych czterech świątyń</t>
  </si>
  <si>
    <t>MKZ
WKL</t>
  </si>
  <si>
    <t>Rewitalizacja wnętrza kościoła p.w.św. Elżbiety we Wrocławiu poprzez rekonstrukcję organów Michaela Englera</t>
  </si>
  <si>
    <t>2012
2019</t>
  </si>
  <si>
    <t>Przebudowa skrzydła pałacowego dla potrzeb Muzeum Teatru przy pl. Wolności 7 a we Wrocławiu</t>
  </si>
  <si>
    <t xml:space="preserve">KULTURA FIZYCZNA I SPORT </t>
  </si>
  <si>
    <t>Budowa boisk piłkarskich o sztucznych nawierzchniach</t>
  </si>
  <si>
    <t xml:space="preserve"> ZIM</t>
  </si>
  <si>
    <t>2005
2019</t>
  </si>
  <si>
    <t>Przygotowanie infrastruktury sportowej w związku z World Games wraz z renowacją Stadionu Olimpijskiego</t>
  </si>
  <si>
    <t>Budżet Państwa</t>
  </si>
  <si>
    <t xml:space="preserve">Rozbudowa infrastruktury rekreacyjnej na terenie WTWK Partynice </t>
  </si>
  <si>
    <t>2015
2018</t>
  </si>
  <si>
    <t>Program przebudowy miejskich obiektów sportowych</t>
  </si>
  <si>
    <t>MCS</t>
  </si>
  <si>
    <t xml:space="preserve">Przebudowa budynku stacji uzdatniania wody wraz z wymianą stacji na terenie krytego basenu przy ul. Racławickiej </t>
  </si>
  <si>
    <t>ŁĄCZNIE W SEKTORACH</t>
  </si>
  <si>
    <t>GOSPODARKA MIESZKANIOWA</t>
  </si>
  <si>
    <t>ADMINISTRACJA PUBLICZNA</t>
  </si>
  <si>
    <t xml:space="preserve">GOSPODARKA KOMUNALNA I OCHRONA ŚRODOWISKA  </t>
  </si>
  <si>
    <t>Środki pozostałe - MPWiK, EBOR</t>
  </si>
  <si>
    <t>do 2015</t>
  </si>
  <si>
    <t xml:space="preserve">PODSUMOWANIE </t>
  </si>
  <si>
    <t xml:space="preserve">POMOC SPOŁECZNA  </t>
  </si>
  <si>
    <t xml:space="preserve">KULTURA I OCHRONA DZIEDZICTWA NARODOWEGO  </t>
  </si>
  <si>
    <t>8.</t>
  </si>
  <si>
    <t>9.</t>
  </si>
  <si>
    <t>2013
2016</t>
  </si>
  <si>
    <t>ZDiUM</t>
  </si>
  <si>
    <t xml:space="preserve">ZDiUM </t>
  </si>
  <si>
    <t>2007
2015</t>
  </si>
  <si>
    <t>ZDIUM</t>
  </si>
  <si>
    <t>ZCK</t>
  </si>
  <si>
    <t>MCUS</t>
  </si>
  <si>
    <t>WTWK</t>
  </si>
  <si>
    <t>ZTS
Spółka WI</t>
  </si>
  <si>
    <t xml:space="preserve">CUI
</t>
  </si>
  <si>
    <t>BZP
ZZK
ZIM</t>
  </si>
  <si>
    <t xml:space="preserve">BZP </t>
  </si>
  <si>
    <t>BZP</t>
  </si>
  <si>
    <t>ZIM
BFS
ZDiUM</t>
  </si>
  <si>
    <t>CUI</t>
  </si>
  <si>
    <t>ZIM
WFI</t>
  </si>
  <si>
    <t>WFI</t>
  </si>
  <si>
    <t>ZZM 
DIG</t>
  </si>
  <si>
    <t xml:space="preserve">
DIG</t>
  </si>
  <si>
    <t xml:space="preserve">ZIM
Spółka WI </t>
  </si>
  <si>
    <t>MCS
ZIM</t>
  </si>
  <si>
    <t>ZZK
WM</t>
  </si>
  <si>
    <t>BZP
ZDiUM</t>
  </si>
  <si>
    <t>ZDiUM
Spółka WI
WZF</t>
  </si>
  <si>
    <t>ZIM 
 ZDiUM 
 ZZM DIG</t>
  </si>
  <si>
    <t>Środki pozostałe -  MPK,MPWiK</t>
  </si>
  <si>
    <t>DIG
 ZTS</t>
  </si>
  <si>
    <t>ZZK
Spółka WM</t>
  </si>
  <si>
    <t>Spółka WM</t>
  </si>
  <si>
    <t>2013
2020</t>
  </si>
  <si>
    <t xml:space="preserve">Zadania Inwestycyjne na lata 2015 - 2019 w tym, które otrzymały dofinansowanie z funduszy europejskich </t>
  </si>
  <si>
    <t>Środki pozostałe-MPWiK,Deweloper</t>
  </si>
  <si>
    <t>Środki pozostałe - Developerzy</t>
  </si>
  <si>
    <t>Środki pozostałe -PFRON</t>
  </si>
  <si>
    <t>Środki pozostałe -współnoty mieszkaniowe</t>
  </si>
  <si>
    <t>WFOŚ, NFOŚ</t>
  </si>
  <si>
    <t>2019
2020</t>
  </si>
  <si>
    <t>WKL
MMW</t>
  </si>
  <si>
    <t>Wrocławskie Mieszkania
ZIM
MOPS</t>
  </si>
  <si>
    <t>Rozbudowa ul.M.Skłodowskiej-Curie- etap II</t>
  </si>
  <si>
    <t>ZDiUM 
ZZM
ZZK</t>
  </si>
  <si>
    <t xml:space="preserve">Budowa bazy lokalowej i techniczno - obsługowej dla Policji </t>
  </si>
  <si>
    <t>Spólka WI
ZTS</t>
  </si>
  <si>
    <t>ZIM
WZF</t>
  </si>
  <si>
    <t xml:space="preserve">Zagospodarowanie Parku Milenijnego - I etap </t>
  </si>
  <si>
    <t>Załącznik
do uchwały Nr................/14
Rady Miejskiej Wrocławia
z dnia....................2014r.</t>
  </si>
  <si>
    <t xml:space="preserve">           KULTURA FIZYCZNA I SPORT </t>
  </si>
  <si>
    <t xml:space="preserve">           KULTURA I OCHRONA DZIEDZICTWA NARODOWEGO </t>
  </si>
  <si>
    <t xml:space="preserve">           GOSPODARKA KOMUNALNA I OCHRONA ŚRODOWISKA </t>
  </si>
  <si>
    <t xml:space="preserve">            POMOC SPOŁECZNA</t>
  </si>
  <si>
    <t xml:space="preserve">            OCHRONA ZDROWIA </t>
  </si>
  <si>
    <t xml:space="preserve">            OŚWIATA I WYCHOWANIE </t>
  </si>
  <si>
    <t xml:space="preserve">           ADMINISTRACJA PUBLICZNA </t>
  </si>
  <si>
    <t xml:space="preserve">            DZIAŁALNOŚĆ USŁUGOWA</t>
  </si>
  <si>
    <t xml:space="preserve">           GOSPODARKA MIESZKANIOWA </t>
  </si>
  <si>
    <t xml:space="preserve">           TRANSPORT I ŁĄCZNOŚĆ </t>
  </si>
  <si>
    <t>Środki pozostałe -GDDKiA, MPWiK</t>
  </si>
  <si>
    <t>Budowa fontanny oraz pawilonu miejskiego  na pl. Nowy Targ</t>
  </si>
  <si>
    <t>Spółka WI
WAB</t>
  </si>
  <si>
    <t>Przebudowa obiektu przy ul.Lindego 19-21 we Wrocławiu na cele prowadzenia Przychodni Zdrowia Psychicznego I Terapii Uzależnienień</t>
  </si>
  <si>
    <t xml:space="preserve">Przebudowa przychodni przy ul.Stalowej 50 na cele prowadzenia Ośrodka Rehabilitacji Dzieci z Porażeniem Mózgowym, Poradni dla Dzieci z Autyzmem </t>
  </si>
  <si>
    <t xml:space="preserve">Budowa Alei Wielkiej Wyspy we Wrocławiu </t>
  </si>
  <si>
    <t>ZIM
ZDiUM
WNiSN</t>
  </si>
  <si>
    <t xml:space="preserve">            BEZPIECZEŃSTWO PUBLICZNE I OCHRONA  PRZECIWPOŻAROWA </t>
  </si>
  <si>
    <t xml:space="preserve">            POZOSTAŁE ZADANIA W ZAKRESIE POLITYKI SPOŁECZNEJ </t>
  </si>
  <si>
    <t>2001
2015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</si>
</sst>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7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2"/>
      <name val="Arial CE"/>
      <charset val="238"/>
    </font>
    <font>
      <b/>
      <sz val="8"/>
      <color theme="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3" fontId="4" fillId="4" borderId="2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left" vertical="center" wrapText="1"/>
    </xf>
    <xf numFmtId="3" fontId="9" fillId="6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5" fillId="0" borderId="1" xfId="0" applyFont="1" applyBorder="1"/>
    <xf numFmtId="3" fontId="10" fillId="0" borderId="1" xfId="0" applyNumberFormat="1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5" fillId="8" borderId="0" xfId="0" applyFont="1" applyFill="1"/>
    <xf numFmtId="3" fontId="5" fillId="7" borderId="1" xfId="0" applyNumberFormat="1" applyFont="1" applyFill="1" applyBorder="1" applyAlignment="1">
      <alignment vertical="center"/>
    </xf>
    <xf numFmtId="3" fontId="5" fillId="9" borderId="1" xfId="0" applyNumberFormat="1" applyFont="1" applyFill="1" applyBorder="1" applyAlignment="1">
      <alignment vertical="center"/>
    </xf>
    <xf numFmtId="164" fontId="5" fillId="9" borderId="1" xfId="0" applyNumberFormat="1" applyFont="1" applyFill="1" applyBorder="1" applyAlignment="1">
      <alignment vertical="center" wrapText="1"/>
    </xf>
    <xf numFmtId="3" fontId="5" fillId="9" borderId="1" xfId="0" applyNumberFormat="1" applyFont="1" applyFill="1" applyBorder="1"/>
    <xf numFmtId="3" fontId="4" fillId="6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11" borderId="1" xfId="0" applyFont="1" applyFill="1" applyBorder="1"/>
    <xf numFmtId="0" fontId="9" fillId="11" borderId="1" xfId="0" applyFont="1" applyFill="1" applyBorder="1"/>
    <xf numFmtId="0" fontId="10" fillId="0" borderId="0" xfId="0" applyFont="1"/>
    <xf numFmtId="0" fontId="10" fillId="0" borderId="1" xfId="0" applyFont="1" applyBorder="1"/>
    <xf numFmtId="164" fontId="10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Border="1"/>
    <xf numFmtId="3" fontId="10" fillId="11" borderId="1" xfId="0" applyNumberFormat="1" applyFont="1" applyFill="1" applyBorder="1"/>
    <xf numFmtId="0" fontId="5" fillId="0" borderId="1" xfId="0" applyFont="1" applyFill="1" applyBorder="1"/>
    <xf numFmtId="164" fontId="4" fillId="6" borderId="1" xfId="0" applyNumberFormat="1" applyFont="1" applyFill="1" applyBorder="1" applyAlignment="1">
      <alignment vertical="center" wrapText="1"/>
    </xf>
    <xf numFmtId="3" fontId="9" fillId="5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 wrapText="1"/>
    </xf>
    <xf numFmtId="164" fontId="13" fillId="5" borderId="1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left" vertical="center"/>
    </xf>
    <xf numFmtId="164" fontId="6" fillId="3" borderId="5" xfId="0" applyNumberFormat="1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6" fillId="10" borderId="4" xfId="0" applyNumberFormat="1" applyFont="1" applyFill="1" applyBorder="1" applyAlignment="1">
      <alignment horizontal="left" vertical="center"/>
    </xf>
    <xf numFmtId="164" fontId="6" fillId="10" borderId="5" xfId="0" applyNumberFormat="1" applyFont="1" applyFill="1" applyBorder="1" applyAlignment="1">
      <alignment horizontal="left" vertical="center"/>
    </xf>
    <xf numFmtId="164" fontId="6" fillId="10" borderId="3" xfId="0" applyNumberFormat="1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4" fillId="0" borderId="6" xfId="0" applyFont="1" applyBorder="1" applyAlignment="1">
      <alignment horizontal="center" vertical="center"/>
    </xf>
  </cellXfs>
  <cellStyles count="4">
    <cellStyle name="Normalny" xfId="0" builtinId="0"/>
    <cellStyle name="Normalny 2" xfId="1"/>
    <cellStyle name="Normalny 5" xfId="2"/>
    <cellStyle name="Normalny 6" xfId="3"/>
  </cellStyles>
  <dxfs count="0"/>
  <tableStyles count="0" defaultTableStyle="TableStyleMedium9" defaultPivotStyle="PivotStyleLight16"/>
  <colors>
    <mruColors>
      <color rgb="FFFFFF99"/>
      <color rgb="FFFFCC99"/>
      <color rgb="FF00FF00"/>
      <color rgb="FFCCFFCC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zk7059\worek%20tomka\Korekta%20planu\Plan%202008%2021-11-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zk7059\worek%20tomka\Korekta%20planu\Plan%202008%2022-02-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y"/>
      <sheetName val="Rejony plan08"/>
      <sheetName val="Zestawienie wg zaawansowania"/>
      <sheetName val="Plan 2008"/>
      <sheetName val="Niewygasające"/>
      <sheetName val="Zestawienie wg robót"/>
      <sheetName val="Ilość adresów  2008"/>
      <sheetName val="Harmonogram"/>
    </sheetNames>
    <sheetDataSet>
      <sheetData sheetId="0">
        <row r="2">
          <cell r="I2" t="str">
            <v>Brak realizacji</v>
          </cell>
          <cell r="L2" t="str">
            <v>V.1.2</v>
          </cell>
          <cell r="M2" t="str">
            <v>O</v>
          </cell>
        </row>
        <row r="3">
          <cell r="I3" t="str">
            <v>Brak uchwały WM</v>
          </cell>
          <cell r="L3" t="str">
            <v>V.1.6</v>
          </cell>
          <cell r="M3" t="str">
            <v>P</v>
          </cell>
        </row>
        <row r="4">
          <cell r="I4" t="str">
            <v>Na 2009 rok</v>
          </cell>
          <cell r="L4" t="str">
            <v>V.2.3</v>
          </cell>
          <cell r="M4" t="str">
            <v>PR</v>
          </cell>
        </row>
        <row r="5">
          <cell r="I5" t="str">
            <v>Przetarg</v>
          </cell>
          <cell r="L5" t="str">
            <v>V.R.1.4</v>
          </cell>
          <cell r="M5" t="str">
            <v>R</v>
          </cell>
        </row>
        <row r="6">
          <cell r="I6" t="str">
            <v>Rezygnacja WM</v>
          </cell>
          <cell r="L6" t="str">
            <v>V.R.15</v>
          </cell>
        </row>
        <row r="7">
          <cell r="I7" t="str">
            <v>W trakcie realizacji</v>
          </cell>
          <cell r="L7" t="str">
            <v>V.R.4.13</v>
          </cell>
        </row>
        <row r="8">
          <cell r="I8" t="str">
            <v>Wycofane</v>
          </cell>
          <cell r="L8" t="str">
            <v>V.R.4.14</v>
          </cell>
        </row>
        <row r="9">
          <cell r="I9" t="str">
            <v>Zadanie wykonane i rozliczone</v>
          </cell>
          <cell r="L9" t="str">
            <v>V.R.4.15</v>
          </cell>
        </row>
        <row r="10">
          <cell r="I10" t="str">
            <v>Zadanie wykonane i w trakcie rozliczenia</v>
          </cell>
          <cell r="L10" t="str">
            <v>V.R.4.3</v>
          </cell>
        </row>
        <row r="11">
          <cell r="I11" t="str">
            <v>Zaliczka na poczet robót WM</v>
          </cell>
          <cell r="L11" t="str">
            <v>V.R.4.9</v>
          </cell>
        </row>
        <row r="12">
          <cell r="I12" t="str">
            <v>Zwrot nadpłaty</v>
          </cell>
          <cell r="L12" t="str">
            <v>V.R.4.12</v>
          </cell>
        </row>
        <row r="13">
          <cell r="I13" t="str">
            <v>Rezerwowe zadanie</v>
          </cell>
          <cell r="L13" t="str">
            <v>V.R.6.1</v>
          </cell>
        </row>
        <row r="14">
          <cell r="L14" t="str">
            <v>V.R.6.2</v>
          </cell>
        </row>
        <row r="15">
          <cell r="L15" t="str">
            <v>V.R.7</v>
          </cell>
        </row>
        <row r="16">
          <cell r="L16" t="str">
            <v>V.R.8</v>
          </cell>
        </row>
        <row r="17">
          <cell r="L17" t="str">
            <v>VII.4</v>
          </cell>
        </row>
        <row r="18">
          <cell r="L18" t="str">
            <v>V.R.4.11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y"/>
      <sheetName val="Rejony plan08"/>
      <sheetName val="Zestawienie wg zaawansowania"/>
      <sheetName val="Plan 2008"/>
      <sheetName val="Niewygasające"/>
      <sheetName val="Zestawienie wg robót"/>
      <sheetName val="Ilość adresów  2008"/>
      <sheetName val="Harmonogram"/>
      <sheetName val="Fundusz remontowy"/>
      <sheetName val="Przetarg"/>
    </sheetNames>
    <sheetDataSet>
      <sheetData sheetId="0">
        <row r="2">
          <cell r="H2" t="str">
            <v>1 Dywizji</v>
          </cell>
        </row>
        <row r="3">
          <cell r="H3" t="str">
            <v>1 Dywizji\Partyzantów</v>
          </cell>
        </row>
        <row r="4">
          <cell r="H4" t="str">
            <v>3-go Maja</v>
          </cell>
        </row>
        <row r="5">
          <cell r="H5" t="str">
            <v>9-go Maja</v>
          </cell>
        </row>
        <row r="6">
          <cell r="H6" t="str">
            <v>Abramowskiego</v>
          </cell>
        </row>
        <row r="7">
          <cell r="H7" t="str">
            <v>Adamczewskich</v>
          </cell>
        </row>
        <row r="8">
          <cell r="H8" t="str">
            <v>Afgańska</v>
          </cell>
        </row>
        <row r="9">
          <cell r="H9" t="str">
            <v>Aliancka</v>
          </cell>
        </row>
        <row r="10">
          <cell r="H10" t="str">
            <v>Altanowa</v>
          </cell>
        </row>
        <row r="11">
          <cell r="H11" t="str">
            <v>Angielska</v>
          </cell>
        </row>
        <row r="12">
          <cell r="H12" t="str">
            <v>Antoniego Św.</v>
          </cell>
        </row>
        <row r="13">
          <cell r="H13" t="str">
            <v>Asnyka</v>
          </cell>
        </row>
        <row r="14">
          <cell r="H14" t="str">
            <v>Bałtycka</v>
          </cell>
        </row>
        <row r="15">
          <cell r="H15" t="str">
            <v>Bałuckiego</v>
          </cell>
        </row>
        <row r="16">
          <cell r="H16" t="str">
            <v>Barlickiego</v>
          </cell>
        </row>
        <row r="17">
          <cell r="H17" t="str">
            <v>Bartla</v>
          </cell>
        </row>
        <row r="18">
          <cell r="H18" t="str">
            <v>Barycka</v>
          </cell>
        </row>
        <row r="19">
          <cell r="H19" t="str">
            <v>Baudouina de Courtenay</v>
          </cell>
        </row>
        <row r="20">
          <cell r="H20" t="str">
            <v>Becka</v>
          </cell>
        </row>
        <row r="21">
          <cell r="H21" t="str">
            <v>Bednarska</v>
          </cell>
        </row>
        <row r="22">
          <cell r="H22" t="str">
            <v>Belwederczyków</v>
          </cell>
        </row>
        <row r="23">
          <cell r="H23" t="str">
            <v>Belwederczyków-Jezierskiego</v>
          </cell>
        </row>
        <row r="24">
          <cell r="H24" t="str">
            <v>Bema</v>
          </cell>
        </row>
        <row r="25">
          <cell r="H25" t="str">
            <v>Bema Pl.</v>
          </cell>
        </row>
        <row r="26">
          <cell r="H26" t="str">
            <v>Benedyktyńska</v>
          </cell>
        </row>
        <row r="27">
          <cell r="H27" t="str">
            <v>Berenta</v>
          </cell>
        </row>
        <row r="28">
          <cell r="H28" t="str">
            <v>Berlinga</v>
          </cell>
        </row>
        <row r="29">
          <cell r="H29" t="str">
            <v>Bernardyńska</v>
          </cell>
        </row>
        <row r="30">
          <cell r="H30" t="str">
            <v>Białoskórnicza</v>
          </cell>
        </row>
        <row r="31">
          <cell r="H31" t="str">
            <v>Białostocka</v>
          </cell>
        </row>
        <row r="32">
          <cell r="H32" t="str">
            <v>Białowieska</v>
          </cell>
        </row>
        <row r="33">
          <cell r="H33" t="str">
            <v>Bierutowska</v>
          </cell>
        </row>
        <row r="34">
          <cell r="H34" t="str">
            <v>Birmańska</v>
          </cell>
        </row>
        <row r="35">
          <cell r="H35" t="str">
            <v>Birmańska\Chińska</v>
          </cell>
        </row>
        <row r="36">
          <cell r="H36" t="str">
            <v>Birmańska\Pakistańska</v>
          </cell>
        </row>
        <row r="37">
          <cell r="H37" t="str">
            <v>Biskupia</v>
          </cell>
        </row>
        <row r="38">
          <cell r="H38" t="str">
            <v>Blacharska</v>
          </cell>
        </row>
        <row r="39">
          <cell r="H39" t="str">
            <v>Bociania</v>
          </cell>
        </row>
        <row r="40">
          <cell r="H40" t="str">
            <v>Boczna</v>
          </cell>
        </row>
        <row r="41">
          <cell r="H41" t="str">
            <v>Bogusławskiego</v>
          </cell>
        </row>
        <row r="42">
          <cell r="H42" t="str">
            <v>Boiskowa</v>
          </cell>
        </row>
        <row r="43">
          <cell r="H43" t="str">
            <v>Bolesławiecka</v>
          </cell>
        </row>
        <row r="44">
          <cell r="H44" t="str">
            <v>Bora Komorowskiego</v>
          </cell>
        </row>
        <row r="45">
          <cell r="H45" t="str">
            <v>Borelowskiego</v>
          </cell>
        </row>
        <row r="46">
          <cell r="H46" t="str">
            <v>Borowska</v>
          </cell>
        </row>
        <row r="47">
          <cell r="H47" t="str">
            <v>Boya Żeleńskiego Al.</v>
          </cell>
        </row>
        <row r="48">
          <cell r="H48" t="str">
            <v>Bożego Ciała</v>
          </cell>
        </row>
        <row r="49">
          <cell r="H49" t="str">
            <v>Brandta</v>
          </cell>
        </row>
        <row r="50">
          <cell r="H50" t="str">
            <v>Braniborska</v>
          </cell>
        </row>
        <row r="51">
          <cell r="H51" t="str">
            <v>Brązowa</v>
          </cell>
        </row>
        <row r="52">
          <cell r="H52" t="str">
            <v>Brodatego</v>
          </cell>
        </row>
        <row r="53">
          <cell r="H53" t="str">
            <v>Brodatego\Pomorska</v>
          </cell>
        </row>
        <row r="54">
          <cell r="H54" t="str">
            <v>Brodzka</v>
          </cell>
        </row>
        <row r="55">
          <cell r="H55" t="str">
            <v>Brzeska</v>
          </cell>
        </row>
        <row r="56">
          <cell r="H56" t="str">
            <v>Brzezińska</v>
          </cell>
        </row>
        <row r="57">
          <cell r="H57" t="str">
            <v>Budziszyńska</v>
          </cell>
        </row>
        <row r="58">
          <cell r="H58" t="str">
            <v>Bujwida</v>
          </cell>
        </row>
        <row r="59">
          <cell r="H59" t="str">
            <v>Bukowskiego</v>
          </cell>
        </row>
        <row r="60">
          <cell r="H60" t="str">
            <v>Buraczana</v>
          </cell>
        </row>
        <row r="61">
          <cell r="H61" t="str">
            <v>Buska</v>
          </cell>
        </row>
        <row r="62">
          <cell r="H62" t="str">
            <v>Bydgoska</v>
          </cell>
        </row>
        <row r="63">
          <cell r="H63" t="str">
            <v>Bytomska</v>
          </cell>
        </row>
        <row r="64">
          <cell r="H64" t="str">
            <v>Ceglana</v>
          </cell>
        </row>
        <row r="65">
          <cell r="H65" t="str">
            <v>Centralna</v>
          </cell>
        </row>
        <row r="66">
          <cell r="H66" t="str">
            <v>Chełmońskiego</v>
          </cell>
        </row>
        <row r="67">
          <cell r="H67" t="str">
            <v>Chemiczna</v>
          </cell>
        </row>
        <row r="68">
          <cell r="H68" t="str">
            <v>Chińska</v>
          </cell>
        </row>
        <row r="69">
          <cell r="H69" t="str">
            <v>Chińska\Birmańska</v>
          </cell>
        </row>
        <row r="70">
          <cell r="H70" t="str">
            <v>Chłopska</v>
          </cell>
        </row>
        <row r="71">
          <cell r="H71" t="str">
            <v>Chopina</v>
          </cell>
        </row>
        <row r="72">
          <cell r="H72" t="str">
            <v>Chrobrego</v>
          </cell>
        </row>
        <row r="73">
          <cell r="H73" t="str">
            <v>Chrzanowskiego</v>
          </cell>
        </row>
        <row r="74">
          <cell r="H74" t="str">
            <v>Chudoby</v>
          </cell>
        </row>
        <row r="75">
          <cell r="H75" t="str">
            <v>Chwałkowska</v>
          </cell>
        </row>
        <row r="76">
          <cell r="H76" t="str">
            <v>Ciepła</v>
          </cell>
        </row>
        <row r="77">
          <cell r="H77" t="str">
            <v>Ciesielski Pl.</v>
          </cell>
        </row>
        <row r="78">
          <cell r="H78" t="str">
            <v>Cieszyńskiego</v>
          </cell>
        </row>
        <row r="79">
          <cell r="H79" t="str">
            <v>Cinciały</v>
          </cell>
        </row>
        <row r="80">
          <cell r="H80" t="str">
            <v>Cukrowa</v>
          </cell>
        </row>
        <row r="81">
          <cell r="H81" t="str">
            <v>Cybulskiego</v>
          </cell>
        </row>
        <row r="82">
          <cell r="H82" t="str">
            <v>Cynowa</v>
          </cell>
        </row>
        <row r="83">
          <cell r="H83" t="str">
            <v>Czajkowskiego</v>
          </cell>
        </row>
        <row r="84">
          <cell r="H84" t="str">
            <v>Czarnieckiego</v>
          </cell>
        </row>
        <row r="85">
          <cell r="H85" t="str">
            <v>Czarnoleska</v>
          </cell>
        </row>
        <row r="86">
          <cell r="H86" t="str">
            <v>Czekoladowa</v>
          </cell>
        </row>
        <row r="87">
          <cell r="H87" t="str">
            <v>Częstochowska</v>
          </cell>
        </row>
        <row r="88">
          <cell r="H88" t="str">
            <v>Czysta</v>
          </cell>
        </row>
        <row r="89">
          <cell r="H89" t="str">
            <v>Ćwiczebna</v>
          </cell>
        </row>
        <row r="90">
          <cell r="H90" t="str">
            <v>Damrota</v>
          </cell>
        </row>
        <row r="91">
          <cell r="H91" t="str">
            <v>Daniłowskiego</v>
          </cell>
        </row>
        <row r="92">
          <cell r="H92" t="str">
            <v>Daszyńskiego</v>
          </cell>
        </row>
        <row r="93">
          <cell r="H93" t="str">
            <v>Dawida\Gajowa</v>
          </cell>
        </row>
        <row r="94">
          <cell r="H94" t="str">
            <v>Dąbrowskiego</v>
          </cell>
        </row>
        <row r="95">
          <cell r="H95" t="str">
            <v>Dembowskiego</v>
          </cell>
        </row>
        <row r="96">
          <cell r="H96" t="str">
            <v>Desantowa</v>
          </cell>
        </row>
        <row r="97">
          <cell r="H97" t="str">
            <v>Dębickiego</v>
          </cell>
        </row>
        <row r="98">
          <cell r="H98" t="str">
            <v>Dicksteina</v>
          </cell>
        </row>
        <row r="99">
          <cell r="H99" t="str">
            <v>Długa</v>
          </cell>
        </row>
        <row r="100">
          <cell r="H100" t="str">
            <v>Długopolska\Strońska</v>
          </cell>
        </row>
        <row r="101">
          <cell r="H101" t="str">
            <v>Długosza</v>
          </cell>
        </row>
        <row r="102">
          <cell r="H102" t="str">
            <v>Dobra</v>
          </cell>
        </row>
        <row r="103">
          <cell r="H103" t="str">
            <v>Dobrzańska</v>
          </cell>
        </row>
        <row r="104">
          <cell r="H104" t="str">
            <v>Dolna</v>
          </cell>
        </row>
        <row r="105">
          <cell r="H105" t="str">
            <v>Dolnobrzeska</v>
          </cell>
        </row>
        <row r="106">
          <cell r="H106" t="str">
            <v>Domasławska</v>
          </cell>
        </row>
        <row r="107">
          <cell r="H107" t="str">
            <v>Dożynkowa</v>
          </cell>
        </row>
        <row r="108">
          <cell r="H108" t="str">
            <v>Drobnera</v>
          </cell>
        </row>
        <row r="109">
          <cell r="H109" t="str">
            <v>Druckiego-Lubeckiego</v>
          </cell>
        </row>
        <row r="110">
          <cell r="H110" t="str">
            <v>Drukarska</v>
          </cell>
        </row>
        <row r="111">
          <cell r="H111" t="str">
            <v>Drzewna</v>
          </cell>
        </row>
        <row r="112">
          <cell r="H112" t="str">
            <v>Dubois</v>
          </cell>
        </row>
        <row r="113">
          <cell r="H113" t="str">
            <v>Dworcowa</v>
          </cell>
        </row>
        <row r="114">
          <cell r="H114" t="str">
            <v>Działdowska</v>
          </cell>
        </row>
        <row r="115">
          <cell r="H115" t="str">
            <v>Eluarda</v>
          </cell>
        </row>
        <row r="116">
          <cell r="H116" t="str">
            <v>Elżbiety Św.</v>
          </cell>
        </row>
        <row r="117">
          <cell r="H117" t="str">
            <v>Ełcka</v>
          </cell>
        </row>
        <row r="118">
          <cell r="H118" t="str">
            <v>Energetyczna</v>
          </cell>
        </row>
        <row r="119">
          <cell r="H119" t="str">
            <v>Energetyczna\Pretficza</v>
          </cell>
        </row>
        <row r="120">
          <cell r="H120" t="str">
            <v>Fabryczna</v>
          </cell>
        </row>
        <row r="121">
          <cell r="H121" t="str">
            <v>Fiołkowa</v>
          </cell>
        </row>
        <row r="122">
          <cell r="H122" t="str">
            <v>Gajowa</v>
          </cell>
        </row>
        <row r="123">
          <cell r="H123" t="str">
            <v>Gajowicka</v>
          </cell>
        </row>
        <row r="124">
          <cell r="H124" t="str">
            <v>Galla Anonima</v>
          </cell>
        </row>
        <row r="125">
          <cell r="H125" t="str">
            <v>Gałczyńskiego</v>
          </cell>
        </row>
        <row r="126">
          <cell r="H126" t="str">
            <v>Garwolińska</v>
          </cell>
        </row>
        <row r="127">
          <cell r="H127" t="str">
            <v>Gazowa</v>
          </cell>
        </row>
        <row r="128">
          <cell r="H128" t="str">
            <v>Gdańska</v>
          </cell>
        </row>
        <row r="129">
          <cell r="H129" t="str">
            <v>Gepperta</v>
          </cell>
        </row>
        <row r="130">
          <cell r="H130" t="str">
            <v>Gimnazjalna</v>
          </cell>
        </row>
        <row r="131">
          <cell r="H131" t="str">
            <v>Gliniana</v>
          </cell>
        </row>
        <row r="132">
          <cell r="H132" t="str">
            <v>Gliwicka-Górnośląska</v>
          </cell>
        </row>
        <row r="133">
          <cell r="H133" t="str">
            <v>Głogowska</v>
          </cell>
        </row>
        <row r="134">
          <cell r="H134" t="str">
            <v>Głowackiego</v>
          </cell>
        </row>
        <row r="135">
          <cell r="H135" t="str">
            <v>Główna</v>
          </cell>
        </row>
        <row r="136">
          <cell r="H136" t="str">
            <v>Gnieźnieńska</v>
          </cell>
        </row>
        <row r="137">
          <cell r="H137" t="str">
            <v>Godebskiego</v>
          </cell>
        </row>
        <row r="138">
          <cell r="H138" t="str">
            <v>Gołężycka</v>
          </cell>
        </row>
        <row r="139">
          <cell r="H139" t="str">
            <v>Gorlicka</v>
          </cell>
        </row>
        <row r="140">
          <cell r="H140" t="str">
            <v>Gosławicka (d.Cmentarna)</v>
          </cell>
        </row>
        <row r="141">
          <cell r="H141" t="str">
            <v>Goszczyńskiego</v>
          </cell>
        </row>
        <row r="142">
          <cell r="H142" t="str">
            <v>Góralska</v>
          </cell>
        </row>
        <row r="143">
          <cell r="H143" t="str">
            <v>Górecka</v>
          </cell>
        </row>
        <row r="144">
          <cell r="H144" t="str">
            <v>Górnickiego</v>
          </cell>
        </row>
        <row r="145">
          <cell r="H145" t="str">
            <v>Górnicza</v>
          </cell>
        </row>
        <row r="146">
          <cell r="H146" t="str">
            <v>Górnośląska</v>
          </cell>
        </row>
        <row r="147">
          <cell r="H147" t="str">
            <v>Grabiszyńska</v>
          </cell>
        </row>
        <row r="148">
          <cell r="H148" t="str">
            <v>Grecka</v>
          </cell>
        </row>
        <row r="149">
          <cell r="H149" t="str">
            <v>Grochowa</v>
          </cell>
        </row>
        <row r="150">
          <cell r="H150" t="str">
            <v>Grodzka</v>
          </cell>
        </row>
        <row r="151">
          <cell r="H151" t="str">
            <v>Gromadzka</v>
          </cell>
        </row>
        <row r="152">
          <cell r="H152" t="str">
            <v>Grota Roweckiego</v>
          </cell>
        </row>
        <row r="153">
          <cell r="H153" t="str">
            <v>Grudziądzka</v>
          </cell>
        </row>
        <row r="154">
          <cell r="H154" t="str">
            <v>Grunwaldzka</v>
          </cell>
        </row>
        <row r="155">
          <cell r="H155" t="str">
            <v>Grunwaldzka\Sienkiewicza</v>
          </cell>
        </row>
        <row r="156">
          <cell r="H156" t="str">
            <v>Gwarecka</v>
          </cell>
        </row>
        <row r="157">
          <cell r="H157" t="str">
            <v>Gwarna</v>
          </cell>
        </row>
        <row r="158">
          <cell r="H158" t="str">
            <v>Hallera</v>
          </cell>
        </row>
        <row r="159">
          <cell r="H159" t="str">
            <v>Hauke-Bosaka</v>
          </cell>
        </row>
        <row r="160">
          <cell r="H160" t="str">
            <v>Hauke-Bosaka , Krasińskiego</v>
          </cell>
        </row>
        <row r="161">
          <cell r="H161" t="str">
            <v>Henrykowska</v>
          </cell>
        </row>
        <row r="162">
          <cell r="H162" t="str">
            <v>Hercena</v>
          </cell>
        </row>
        <row r="163">
          <cell r="H163" t="str">
            <v>Hermanowska</v>
          </cell>
        </row>
        <row r="164">
          <cell r="H164" t="str">
            <v>Hirszfelda Pl.</v>
          </cell>
        </row>
        <row r="165">
          <cell r="H165" t="str">
            <v>Hlonda</v>
          </cell>
        </row>
        <row r="166">
          <cell r="H166" t="str">
            <v>Hłaski</v>
          </cell>
        </row>
        <row r="167">
          <cell r="H167" t="str">
            <v>Holenderska</v>
          </cell>
        </row>
        <row r="168">
          <cell r="H168" t="str">
            <v>Hubska</v>
          </cell>
        </row>
        <row r="169">
          <cell r="H169" t="str">
            <v>Hutnicza</v>
          </cell>
        </row>
        <row r="170">
          <cell r="H170" t="str">
            <v>Igielna</v>
          </cell>
        </row>
        <row r="171">
          <cell r="H171" t="str">
            <v>Ignuta</v>
          </cell>
        </row>
        <row r="172">
          <cell r="H172" t="str">
            <v>Inowrocławska</v>
          </cell>
        </row>
        <row r="173">
          <cell r="H173" t="str">
            <v>Irysowa</v>
          </cell>
        </row>
        <row r="174">
          <cell r="H174" t="str">
            <v>Jadwigi Św.</v>
          </cell>
        </row>
        <row r="175">
          <cell r="H175" t="str">
            <v>Jagiellończyka</v>
          </cell>
        </row>
        <row r="176">
          <cell r="H176" t="str">
            <v>Jagiełły</v>
          </cell>
        </row>
        <row r="177">
          <cell r="H177" t="str">
            <v>Jagodzińska</v>
          </cell>
        </row>
        <row r="178">
          <cell r="H178" t="str">
            <v>Jajczarska</v>
          </cell>
        </row>
        <row r="179">
          <cell r="H179" t="str">
            <v>Jana Pawła II Pl.</v>
          </cell>
        </row>
        <row r="180">
          <cell r="H180" t="str">
            <v>Janiszewskiego</v>
          </cell>
        </row>
        <row r="181">
          <cell r="H181" t="str">
            <v>Jantarowa</v>
          </cell>
        </row>
        <row r="182">
          <cell r="H182" t="str">
            <v>Januszowicka</v>
          </cell>
        </row>
        <row r="183">
          <cell r="H183" t="str">
            <v>Jaracza</v>
          </cell>
        </row>
        <row r="184">
          <cell r="H184" t="str">
            <v>Jarocińska</v>
          </cell>
        </row>
        <row r="185">
          <cell r="H185" t="str">
            <v>Jarzębinowa Al.</v>
          </cell>
        </row>
        <row r="186">
          <cell r="H186" t="str">
            <v>Jastrzębia</v>
          </cell>
        </row>
        <row r="187">
          <cell r="H187" t="str">
            <v>Jaworowa Al.</v>
          </cell>
        </row>
        <row r="188">
          <cell r="H188" t="str">
            <v>Jedności Narodowej</v>
          </cell>
        </row>
        <row r="189">
          <cell r="H189" t="str">
            <v>Jedności Narodowej\Kilińskiego</v>
          </cell>
        </row>
        <row r="190">
          <cell r="H190" t="str">
            <v>Jedności Narodowej\Probusa</v>
          </cell>
        </row>
        <row r="191">
          <cell r="H191" t="str">
            <v>Jeleniogórska</v>
          </cell>
        </row>
        <row r="192">
          <cell r="H192" t="str">
            <v>Jemiołowa</v>
          </cell>
        </row>
        <row r="193">
          <cell r="H193" t="str">
            <v>Jerzego Św.</v>
          </cell>
        </row>
        <row r="194">
          <cell r="H194" t="str">
            <v>Jerzmanowska</v>
          </cell>
        </row>
        <row r="195">
          <cell r="H195" t="str">
            <v>Jesienna</v>
          </cell>
        </row>
        <row r="196">
          <cell r="H196" t="str">
            <v>Jesionowa</v>
          </cell>
        </row>
        <row r="197">
          <cell r="H197" t="str">
            <v>Jezierskiego</v>
          </cell>
        </row>
        <row r="198">
          <cell r="H198" t="str">
            <v>Jeździecka</v>
          </cell>
        </row>
        <row r="199">
          <cell r="H199" t="str">
            <v>Jeżowska</v>
          </cell>
        </row>
        <row r="200">
          <cell r="H200" t="str">
            <v>Jęczmienna</v>
          </cell>
        </row>
        <row r="201">
          <cell r="H201" t="str">
            <v>Jodłowa</v>
          </cell>
        </row>
        <row r="202">
          <cell r="H202" t="str">
            <v>Jordanowska</v>
          </cell>
        </row>
        <row r="203">
          <cell r="H203" t="str">
            <v>Jugosławiańska</v>
          </cell>
        </row>
        <row r="204">
          <cell r="H204" t="str">
            <v>Junacka</v>
          </cell>
        </row>
        <row r="205">
          <cell r="H205" t="str">
            <v>Juszczaka</v>
          </cell>
        </row>
        <row r="206">
          <cell r="H206" t="str">
            <v>Kaliski Pl</v>
          </cell>
        </row>
        <row r="207">
          <cell r="H207" t="str">
            <v>Kamieniecka</v>
          </cell>
        </row>
        <row r="208">
          <cell r="H208" t="str">
            <v>Kamienna</v>
          </cell>
        </row>
        <row r="209">
          <cell r="H209" t="str">
            <v>Kamienna\ Wapienna</v>
          </cell>
        </row>
        <row r="210">
          <cell r="H210" t="str">
            <v>Kamieńskiego</v>
          </cell>
        </row>
        <row r="211">
          <cell r="H211" t="str">
            <v>Kanadyjska</v>
          </cell>
        </row>
        <row r="212">
          <cell r="H212" t="str">
            <v>Kapliczna</v>
          </cell>
        </row>
        <row r="213">
          <cell r="H213" t="str">
            <v>Karczemna</v>
          </cell>
        </row>
        <row r="214">
          <cell r="H214" t="str">
            <v>Karmelkowa</v>
          </cell>
        </row>
        <row r="215">
          <cell r="H215" t="str">
            <v>Karpacka</v>
          </cell>
        </row>
        <row r="216">
          <cell r="H216" t="str">
            <v>Kasprowicza Al.</v>
          </cell>
        </row>
        <row r="217">
          <cell r="H217" t="str">
            <v>Kasprzaka</v>
          </cell>
        </row>
        <row r="218">
          <cell r="H218" t="str">
            <v>Kasztanowa Al.</v>
          </cell>
        </row>
        <row r="219">
          <cell r="H219" t="str">
            <v>Kasztelańska</v>
          </cell>
        </row>
        <row r="220">
          <cell r="H220" t="str">
            <v>Kaszubska</v>
          </cell>
        </row>
        <row r="221">
          <cell r="H221" t="str">
            <v>Kaszubska\Kurkowa</v>
          </cell>
        </row>
        <row r="222">
          <cell r="H222" t="str">
            <v>Katedralny Pl.</v>
          </cell>
        </row>
        <row r="223">
          <cell r="H223" t="str">
            <v>Kazimierza Wielkiego</v>
          </cell>
        </row>
        <row r="224">
          <cell r="H224" t="str">
            <v>Kazimierza Wielkiego\Pl.Woln.</v>
          </cell>
        </row>
        <row r="225">
          <cell r="H225" t="str">
            <v>Kącka</v>
          </cell>
        </row>
        <row r="226">
          <cell r="H226" t="str">
            <v>Kiełbaśnicza</v>
          </cell>
        </row>
        <row r="227">
          <cell r="H227" t="str">
            <v>Kiełczowska</v>
          </cell>
        </row>
        <row r="228">
          <cell r="H228" t="str">
            <v>Kilińskiego</v>
          </cell>
        </row>
        <row r="229">
          <cell r="H229" t="str">
            <v>Kilińskiego\Prusa</v>
          </cell>
        </row>
        <row r="230">
          <cell r="H230" t="str">
            <v>Klasztorna</v>
          </cell>
        </row>
        <row r="231">
          <cell r="H231" t="str">
            <v>Klecińska</v>
          </cell>
        </row>
        <row r="232">
          <cell r="H232" t="str">
            <v>Kleczkowska</v>
          </cell>
        </row>
        <row r="233">
          <cell r="H233" t="str">
            <v>Klimasa</v>
          </cell>
        </row>
        <row r="234">
          <cell r="H234" t="str">
            <v>Kluczborska</v>
          </cell>
        </row>
        <row r="235">
          <cell r="H235" t="str">
            <v>Kłośna</v>
          </cell>
        </row>
        <row r="236">
          <cell r="H236" t="str">
            <v>Kniaziewicza</v>
          </cell>
        </row>
        <row r="237">
          <cell r="H237" t="str">
            <v>Kobierzycka</v>
          </cell>
        </row>
        <row r="238">
          <cell r="H238" t="str">
            <v>Kochanowskiego</v>
          </cell>
        </row>
        <row r="239">
          <cell r="H239" t="str">
            <v>Kolbuszowska</v>
          </cell>
        </row>
        <row r="240">
          <cell r="H240" t="str">
            <v>Kolejowa</v>
          </cell>
        </row>
        <row r="241">
          <cell r="H241" t="str">
            <v>Kołłątaja</v>
          </cell>
        </row>
        <row r="242">
          <cell r="H242" t="str">
            <v>Komandorska</v>
          </cell>
        </row>
        <row r="243">
          <cell r="H243" t="str">
            <v>Komorowska</v>
          </cell>
        </row>
        <row r="244">
          <cell r="H244" t="str">
            <v>Komuny Paryskiej</v>
          </cell>
        </row>
        <row r="245">
          <cell r="H245" t="str">
            <v>Komuny Paryskiej-Kościuszki-Pułaskiego-Prądzyńskiego</v>
          </cell>
        </row>
        <row r="246">
          <cell r="H246" t="str">
            <v>Konarskiego</v>
          </cell>
        </row>
        <row r="247">
          <cell r="H247" t="str">
            <v>Konstytucji 3-go Maja Pl.</v>
          </cell>
        </row>
        <row r="248">
          <cell r="H248" t="str">
            <v>Kopernika</v>
          </cell>
        </row>
        <row r="249">
          <cell r="H249" t="str">
            <v>Koreańska</v>
          </cell>
        </row>
        <row r="250">
          <cell r="H250" t="str">
            <v>Korzeniowskiego Conrada</v>
          </cell>
        </row>
        <row r="251">
          <cell r="H251" t="str">
            <v>Kosmonautów</v>
          </cell>
        </row>
        <row r="252">
          <cell r="H252" t="str">
            <v>Kosynierów Gdyńskich</v>
          </cell>
        </row>
        <row r="253">
          <cell r="H253" t="str">
            <v>Kościelna</v>
          </cell>
        </row>
        <row r="254">
          <cell r="H254" t="str">
            <v>Kościuszki</v>
          </cell>
        </row>
        <row r="255">
          <cell r="H255" t="str">
            <v>Kościuszki Pl.</v>
          </cell>
        </row>
        <row r="256">
          <cell r="H256" t="str">
            <v>Kotlarska</v>
          </cell>
        </row>
        <row r="257">
          <cell r="H257" t="str">
            <v>Kotsisa</v>
          </cell>
        </row>
        <row r="258">
          <cell r="H258" t="str">
            <v>Kowalska</v>
          </cell>
        </row>
        <row r="259">
          <cell r="H259" t="str">
            <v>Kozanowska</v>
          </cell>
        </row>
        <row r="260">
          <cell r="H260" t="str">
            <v>Krakowska</v>
          </cell>
        </row>
        <row r="261">
          <cell r="H261" t="str">
            <v>Krakusa</v>
          </cell>
        </row>
        <row r="262">
          <cell r="H262" t="str">
            <v>Krasickiego</v>
          </cell>
        </row>
        <row r="263">
          <cell r="H263" t="str">
            <v>Krasińskiego</v>
          </cell>
        </row>
        <row r="264">
          <cell r="H264" t="str">
            <v>Kraszewskiego</v>
          </cell>
        </row>
        <row r="265">
          <cell r="H265" t="str">
            <v>Kreślarska</v>
          </cell>
        </row>
        <row r="266">
          <cell r="H266" t="str">
            <v>Krępicka</v>
          </cell>
        </row>
        <row r="267">
          <cell r="H267" t="str">
            <v>Kręta</v>
          </cell>
        </row>
        <row r="268">
          <cell r="H268" t="str">
            <v>Kromera Al.</v>
          </cell>
        </row>
        <row r="269">
          <cell r="H269" t="str">
            <v>Krośnieńska</v>
          </cell>
        </row>
        <row r="270">
          <cell r="H270" t="str">
            <v>Krotoszyńska</v>
          </cell>
        </row>
        <row r="271">
          <cell r="H271" t="str">
            <v>Krowia</v>
          </cell>
        </row>
        <row r="272">
          <cell r="H272" t="str">
            <v>Królewiecka</v>
          </cell>
        </row>
        <row r="273">
          <cell r="H273" t="str">
            <v>Krucza</v>
          </cell>
        </row>
        <row r="274">
          <cell r="H274" t="str">
            <v>Krupnicza</v>
          </cell>
        </row>
        <row r="275">
          <cell r="H275" t="str">
            <v>Krynicka</v>
          </cell>
        </row>
        <row r="276">
          <cell r="H276" t="str">
            <v>Krzemieniecka</v>
          </cell>
        </row>
        <row r="277">
          <cell r="H277" t="str">
            <v>Krzycka</v>
          </cell>
        </row>
        <row r="278">
          <cell r="H278" t="str">
            <v>Krzycka\Wiosenna</v>
          </cell>
        </row>
        <row r="279">
          <cell r="H279" t="str">
            <v>Krzywa</v>
          </cell>
        </row>
        <row r="280">
          <cell r="H280" t="str">
            <v>Krzywa\Reja</v>
          </cell>
        </row>
        <row r="281">
          <cell r="H281" t="str">
            <v>Krzywoustego</v>
          </cell>
        </row>
        <row r="282">
          <cell r="H282" t="str">
            <v>Ks.Witolda</v>
          </cell>
        </row>
        <row r="283">
          <cell r="H283" t="str">
            <v>Księgarska</v>
          </cell>
        </row>
        <row r="284">
          <cell r="H284" t="str">
            <v>Księska</v>
          </cell>
        </row>
        <row r="285">
          <cell r="H285" t="str">
            <v>Księżycowa</v>
          </cell>
        </row>
        <row r="286">
          <cell r="H286" t="str">
            <v>Kurkowa</v>
          </cell>
        </row>
        <row r="287">
          <cell r="H287" t="str">
            <v>Kurpiów</v>
          </cell>
        </row>
        <row r="288">
          <cell r="H288" t="str">
            <v>Kuźnicza</v>
          </cell>
        </row>
        <row r="289">
          <cell r="H289" t="str">
            <v>Kwaśna</v>
          </cell>
        </row>
        <row r="290">
          <cell r="H290" t="str">
            <v>Kwaśna\róg Stalowej</v>
          </cell>
        </row>
        <row r="291">
          <cell r="H291" t="str">
            <v>Kwidzyńska</v>
          </cell>
        </row>
        <row r="292">
          <cell r="H292" t="str">
            <v>Ledóchowskiego</v>
          </cell>
        </row>
        <row r="293">
          <cell r="H293" t="str">
            <v>Legionów Pl.</v>
          </cell>
        </row>
        <row r="294">
          <cell r="H294" t="str">
            <v>Legnicka</v>
          </cell>
        </row>
        <row r="295">
          <cell r="H295" t="str">
            <v>Lekcyjna</v>
          </cell>
        </row>
        <row r="296">
          <cell r="H296" t="str">
            <v>Lelewela</v>
          </cell>
        </row>
        <row r="297">
          <cell r="H297" t="str">
            <v>Leonarda da Vinci</v>
          </cell>
        </row>
        <row r="298">
          <cell r="H298" t="str">
            <v>Leszczyńskiego</v>
          </cell>
        </row>
        <row r="299">
          <cell r="H299" t="str">
            <v>Leśna</v>
          </cell>
        </row>
        <row r="300">
          <cell r="H300" t="str">
            <v>Libelta</v>
          </cell>
        </row>
        <row r="301">
          <cell r="H301" t="str">
            <v>Lipińskiego</v>
          </cell>
        </row>
        <row r="302">
          <cell r="H302" t="str">
            <v>Lipowa Al.</v>
          </cell>
        </row>
        <row r="303">
          <cell r="H303" t="str">
            <v>Liskego</v>
          </cell>
        </row>
        <row r="304">
          <cell r="H304" t="str">
            <v>Litomska</v>
          </cell>
        </row>
        <row r="305">
          <cell r="H305" t="str">
            <v>Lniana</v>
          </cell>
        </row>
        <row r="306">
          <cell r="H306" t="str">
            <v>Lompy</v>
          </cell>
        </row>
        <row r="307">
          <cell r="H307" t="str">
            <v>Lotnicza</v>
          </cell>
        </row>
        <row r="308">
          <cell r="H308" t="str">
            <v>Lubelska</v>
          </cell>
        </row>
        <row r="309">
          <cell r="H309" t="str">
            <v>Lubińska</v>
          </cell>
        </row>
        <row r="310">
          <cell r="H310" t="str">
            <v>Lubuska</v>
          </cell>
        </row>
        <row r="311">
          <cell r="H311" t="str">
            <v>Lwowska</v>
          </cell>
        </row>
        <row r="312">
          <cell r="H312" t="str">
            <v>Łaciarska</v>
          </cell>
        </row>
        <row r="313">
          <cell r="H313" t="str">
            <v>Ładna</v>
          </cell>
        </row>
        <row r="314">
          <cell r="H314" t="str">
            <v>Łanowa</v>
          </cell>
        </row>
        <row r="315">
          <cell r="H315" t="str">
            <v>Łaska (d.Leska)</v>
          </cell>
        </row>
        <row r="316">
          <cell r="H316" t="str">
            <v>Łazienna</v>
          </cell>
        </row>
        <row r="317">
          <cell r="H317" t="str">
            <v>Łączności</v>
          </cell>
        </row>
        <row r="318">
          <cell r="H318" t="str">
            <v>Łąka Mazurska</v>
          </cell>
        </row>
        <row r="319">
          <cell r="H319" t="str">
            <v>Łąkowa</v>
          </cell>
        </row>
        <row r="320">
          <cell r="H320" t="str">
            <v>Łęczycka</v>
          </cell>
        </row>
        <row r="321">
          <cell r="H321" t="str">
            <v>Łokietka</v>
          </cell>
        </row>
        <row r="322">
          <cell r="H322" t="str">
            <v>Łowiecka</v>
          </cell>
        </row>
        <row r="323">
          <cell r="H323" t="str">
            <v>Łódzka</v>
          </cell>
        </row>
        <row r="324">
          <cell r="H324" t="str">
            <v>Łubinowa</v>
          </cell>
        </row>
        <row r="325">
          <cell r="H325" t="str">
            <v>Łuczników</v>
          </cell>
        </row>
        <row r="326">
          <cell r="H326" t="str">
            <v>Łukasiewicza</v>
          </cell>
        </row>
        <row r="327">
          <cell r="H327" t="str">
            <v>Łukasińskiego</v>
          </cell>
        </row>
        <row r="328">
          <cell r="H328" t="str">
            <v>Łysogórska\Waflowa</v>
          </cell>
        </row>
        <row r="329">
          <cell r="H329" t="str">
            <v>Macieja Św. Pl.</v>
          </cell>
        </row>
        <row r="330">
          <cell r="H330" t="str">
            <v>Majchra</v>
          </cell>
        </row>
        <row r="331">
          <cell r="H331" t="str">
            <v>Makowa</v>
          </cell>
        </row>
        <row r="332">
          <cell r="H332" t="str">
            <v>Maksa Borna</v>
          </cell>
        </row>
        <row r="333">
          <cell r="H333" t="str">
            <v>Malarska</v>
          </cell>
        </row>
        <row r="334">
          <cell r="H334" t="str">
            <v>Malczewskiego</v>
          </cell>
        </row>
        <row r="335">
          <cell r="H335" t="str">
            <v>Małachowskiego</v>
          </cell>
        </row>
        <row r="336">
          <cell r="H336" t="str">
            <v>Manganowa</v>
          </cell>
        </row>
        <row r="337">
          <cell r="H337" t="str">
            <v>Marcina Św.</v>
          </cell>
        </row>
        <row r="338">
          <cell r="H338" t="str">
            <v>Marcinkowskiego</v>
          </cell>
        </row>
        <row r="339">
          <cell r="H339" t="str">
            <v>Marszowicka</v>
          </cell>
        </row>
        <row r="340">
          <cell r="H340" t="str">
            <v>Masztowa</v>
          </cell>
        </row>
        <row r="341">
          <cell r="H341" t="str">
            <v>Masztowa</v>
          </cell>
        </row>
        <row r="342">
          <cell r="H342" t="str">
            <v>Maślicka</v>
          </cell>
        </row>
        <row r="343">
          <cell r="H343" t="str">
            <v>Matejki Al.</v>
          </cell>
        </row>
        <row r="344">
          <cell r="H344" t="str">
            <v>Mazowiecka</v>
          </cell>
        </row>
        <row r="345">
          <cell r="H345" t="str">
            <v>Mennicza</v>
          </cell>
        </row>
        <row r="346">
          <cell r="H346" t="str">
            <v>Męcińskiego</v>
          </cell>
        </row>
        <row r="347">
          <cell r="H347" t="str">
            <v>Miarki Karola</v>
          </cell>
        </row>
        <row r="348">
          <cell r="H348" t="str">
            <v>Micińskiego</v>
          </cell>
        </row>
        <row r="349">
          <cell r="H349" t="str">
            <v>Mickiewicza</v>
          </cell>
        </row>
        <row r="350">
          <cell r="H350" t="str">
            <v>Mielczarskiego</v>
          </cell>
        </row>
        <row r="351">
          <cell r="H351" t="str">
            <v>Mielecka</v>
          </cell>
        </row>
        <row r="352">
          <cell r="H352" t="str">
            <v>Miernicza</v>
          </cell>
        </row>
        <row r="353">
          <cell r="H353" t="str">
            <v>Mierosławskiego</v>
          </cell>
        </row>
        <row r="354">
          <cell r="H354" t="str">
            <v>Mieszka I</v>
          </cell>
        </row>
        <row r="355">
          <cell r="H355" t="str">
            <v>Migdałowa</v>
          </cell>
        </row>
        <row r="356">
          <cell r="H356" t="str">
            <v>Mikołaja Św.</v>
          </cell>
        </row>
        <row r="357">
          <cell r="H357" t="str">
            <v>Milicka</v>
          </cell>
        </row>
        <row r="358">
          <cell r="H358" t="str">
            <v>Miłoszycka</v>
          </cell>
        </row>
        <row r="359">
          <cell r="H359" t="str">
            <v>Minkowskiego</v>
          </cell>
        </row>
        <row r="360">
          <cell r="H360" t="str">
            <v>Miodowa</v>
          </cell>
        </row>
        <row r="361">
          <cell r="H361" t="str">
            <v>Miodowa\Trzmielowicka</v>
          </cell>
        </row>
        <row r="362">
          <cell r="H362" t="str">
            <v>Młynarska</v>
          </cell>
        </row>
        <row r="363">
          <cell r="H363" t="str">
            <v>Modlińska</v>
          </cell>
        </row>
        <row r="364">
          <cell r="H364" t="str">
            <v>Modlińska</v>
          </cell>
        </row>
        <row r="365">
          <cell r="H365" t="str">
            <v>Mokrzańska</v>
          </cell>
        </row>
        <row r="366">
          <cell r="H366" t="str">
            <v>Mongolski Pl.</v>
          </cell>
        </row>
        <row r="367">
          <cell r="H367" t="str">
            <v>Moniuszki</v>
          </cell>
        </row>
        <row r="368">
          <cell r="H368" t="str">
            <v>Monte Cassino</v>
          </cell>
        </row>
        <row r="369">
          <cell r="H369" t="str">
            <v>Morawska</v>
          </cell>
        </row>
        <row r="370">
          <cell r="H370" t="str">
            <v>Mosbacha</v>
          </cell>
        </row>
        <row r="371">
          <cell r="H371" t="str">
            <v>Mosiężna</v>
          </cell>
        </row>
        <row r="372">
          <cell r="H372" t="str">
            <v>Mościckiego</v>
          </cell>
        </row>
        <row r="373">
          <cell r="H373" t="str">
            <v>Mulicka</v>
          </cell>
        </row>
        <row r="374">
          <cell r="H374" t="str">
            <v>Murarska</v>
          </cell>
        </row>
        <row r="375">
          <cell r="H375" t="str">
            <v>Murarska\Koszykarska</v>
          </cell>
        </row>
        <row r="376">
          <cell r="H376" t="str">
            <v>Muzealny Pl.</v>
          </cell>
        </row>
        <row r="377">
          <cell r="H377" t="str">
            <v>Myśliwska</v>
          </cell>
        </row>
        <row r="378">
          <cell r="H378" t="str">
            <v>Na Grobli</v>
          </cell>
        </row>
        <row r="379">
          <cell r="H379" t="str">
            <v>Na Szańcach</v>
          </cell>
        </row>
        <row r="380">
          <cell r="H380" t="str">
            <v>Nabycińska</v>
          </cell>
        </row>
        <row r="381">
          <cell r="H381" t="str">
            <v>Nankiera Pl.</v>
          </cell>
        </row>
        <row r="382">
          <cell r="H382" t="str">
            <v>Narcyzowa</v>
          </cell>
        </row>
        <row r="383">
          <cell r="H383" t="str">
            <v>Nasturcjowa</v>
          </cell>
        </row>
        <row r="384">
          <cell r="H384" t="str">
            <v>Nasypowa</v>
          </cell>
        </row>
        <row r="385">
          <cell r="H385" t="str">
            <v>Nauczycielska</v>
          </cell>
        </row>
        <row r="386">
          <cell r="H386" t="str">
            <v>Nehringa</v>
          </cell>
        </row>
        <row r="387">
          <cell r="H387" t="str">
            <v>Niecała</v>
          </cell>
        </row>
        <row r="388">
          <cell r="H388" t="str">
            <v>Niemcewicza</v>
          </cell>
        </row>
        <row r="389">
          <cell r="H389" t="str">
            <v>Niepodległości</v>
          </cell>
        </row>
        <row r="390">
          <cell r="H390" t="str">
            <v>Niklowa</v>
          </cell>
        </row>
        <row r="391">
          <cell r="H391" t="str">
            <v>Nobla</v>
          </cell>
        </row>
        <row r="392">
          <cell r="H392" t="str">
            <v>Norblina</v>
          </cell>
        </row>
        <row r="393">
          <cell r="H393" t="str">
            <v>Norweska</v>
          </cell>
        </row>
        <row r="394">
          <cell r="H394" t="str">
            <v>Norwida</v>
          </cell>
        </row>
        <row r="395">
          <cell r="H395" t="str">
            <v>Norwida-Smoluchowskiego</v>
          </cell>
        </row>
        <row r="396">
          <cell r="H396" t="str">
            <v>Nowa</v>
          </cell>
        </row>
        <row r="397">
          <cell r="H397" t="str">
            <v>Nowodworska</v>
          </cell>
        </row>
        <row r="398">
          <cell r="H398" t="str">
            <v>Nowowiejska</v>
          </cell>
        </row>
        <row r="399">
          <cell r="H399" t="str">
            <v>Nowowiejska\Prusa</v>
          </cell>
        </row>
        <row r="400">
          <cell r="H400" t="str">
            <v>Nowy Targ</v>
          </cell>
        </row>
        <row r="401">
          <cell r="H401" t="str">
            <v>Nożownicza</v>
          </cell>
        </row>
        <row r="402">
          <cell r="H402" t="str">
            <v>Nulla</v>
          </cell>
        </row>
        <row r="403">
          <cell r="H403" t="str">
            <v>Nyska</v>
          </cell>
        </row>
        <row r="404">
          <cell r="H404" t="str">
            <v>Objazdowa</v>
          </cell>
        </row>
        <row r="405">
          <cell r="H405" t="str">
            <v>Obornicka</v>
          </cell>
        </row>
        <row r="406">
          <cell r="H406" t="str">
            <v>Obroń. Pocz. Gdań.</v>
          </cell>
        </row>
        <row r="407">
          <cell r="H407" t="str">
            <v>Odkrywców</v>
          </cell>
        </row>
        <row r="408">
          <cell r="H408" t="str">
            <v>Odrodzenia Polski</v>
          </cell>
        </row>
        <row r="409">
          <cell r="H409" t="str">
            <v>Odrzańska</v>
          </cell>
        </row>
        <row r="410">
          <cell r="H410" t="str">
            <v>Of. Oświęcimskich</v>
          </cell>
        </row>
        <row r="411">
          <cell r="H411" t="str">
            <v>Oficerska</v>
          </cell>
        </row>
        <row r="412">
          <cell r="H412" t="str">
            <v>Ogródek Jordanowski</v>
          </cell>
        </row>
        <row r="413">
          <cell r="H413" t="str">
            <v>Okrzei</v>
          </cell>
        </row>
        <row r="414">
          <cell r="H414" t="str">
            <v>Okulickiego</v>
          </cell>
        </row>
        <row r="415">
          <cell r="H415" t="str">
            <v>Oleśnicka</v>
          </cell>
        </row>
        <row r="416">
          <cell r="H416" t="str">
            <v>Olszewskiego</v>
          </cell>
        </row>
        <row r="417">
          <cell r="H417" t="str">
            <v>Olsztyńska</v>
          </cell>
        </row>
        <row r="418">
          <cell r="H418" t="str">
            <v>Oławska</v>
          </cell>
        </row>
        <row r="419">
          <cell r="H419" t="str">
            <v>Ołbińska</v>
          </cell>
        </row>
        <row r="420">
          <cell r="H420" t="str">
            <v>Ołowiana</v>
          </cell>
        </row>
        <row r="421">
          <cell r="H421" t="str">
            <v>Opolska</v>
          </cell>
        </row>
        <row r="422">
          <cell r="H422" t="str">
            <v>Oporowska</v>
          </cell>
        </row>
        <row r="423">
          <cell r="H423" t="str">
            <v>Orkana</v>
          </cell>
        </row>
        <row r="424">
          <cell r="H424" t="str">
            <v>Orla</v>
          </cell>
        </row>
        <row r="425">
          <cell r="H425" t="str">
            <v>Orląt Lwowskich Pl.</v>
          </cell>
        </row>
        <row r="426">
          <cell r="H426" t="str">
            <v>Orzechowa</v>
          </cell>
        </row>
        <row r="427">
          <cell r="H427" t="str">
            <v>Orzeszkowej</v>
          </cell>
        </row>
        <row r="428">
          <cell r="H428" t="str">
            <v>Orzeszkowej\Jaracza</v>
          </cell>
        </row>
        <row r="429">
          <cell r="H429" t="str">
            <v>Osadnicza</v>
          </cell>
        </row>
        <row r="430">
          <cell r="H430" t="str">
            <v>Osmańczyka</v>
          </cell>
        </row>
        <row r="431">
          <cell r="H431" t="str">
            <v>Osobowicka</v>
          </cell>
        </row>
        <row r="432">
          <cell r="H432" t="str">
            <v>Ostrowska</v>
          </cell>
        </row>
        <row r="433">
          <cell r="H433" t="str">
            <v>Ostrowskiego</v>
          </cell>
        </row>
        <row r="434">
          <cell r="H434" t="str">
            <v>Otmuchowska</v>
          </cell>
        </row>
        <row r="435">
          <cell r="H435" t="str">
            <v>Otwarta</v>
          </cell>
        </row>
        <row r="436">
          <cell r="H436" t="str">
            <v>Owocowa</v>
          </cell>
        </row>
        <row r="437">
          <cell r="H437" t="str">
            <v>Owsiana</v>
          </cell>
        </row>
        <row r="438">
          <cell r="H438" t="str">
            <v>Owsiana</v>
          </cell>
        </row>
        <row r="439">
          <cell r="H439" t="str">
            <v>Paczkowska</v>
          </cell>
        </row>
        <row r="440">
          <cell r="H440" t="str">
            <v>Pakistańska</v>
          </cell>
        </row>
        <row r="441">
          <cell r="H441" t="str">
            <v>Pałucka</v>
          </cell>
        </row>
        <row r="442">
          <cell r="H442" t="str">
            <v>Pankiewicza</v>
          </cell>
        </row>
        <row r="443">
          <cell r="H443" t="str">
            <v>Papiernicza</v>
          </cell>
        </row>
        <row r="444">
          <cell r="H444" t="str">
            <v>Parafialna</v>
          </cell>
        </row>
        <row r="445">
          <cell r="H445" t="str">
            <v>Parkowa</v>
          </cell>
        </row>
        <row r="446">
          <cell r="H446" t="str">
            <v>Parnickiego</v>
          </cell>
        </row>
        <row r="447">
          <cell r="H447" t="str">
            <v>Partynicka</v>
          </cell>
        </row>
        <row r="448">
          <cell r="H448" t="str">
            <v>Partyzantów</v>
          </cell>
        </row>
        <row r="449">
          <cell r="H449" t="str">
            <v>Pasteura</v>
          </cell>
        </row>
        <row r="450">
          <cell r="H450" t="str">
            <v>Paulińska</v>
          </cell>
        </row>
        <row r="451">
          <cell r="H451" t="str">
            <v>Pawia</v>
          </cell>
        </row>
        <row r="452">
          <cell r="H452" t="str">
            <v>Pawłowa</v>
          </cell>
        </row>
        <row r="453">
          <cell r="H453" t="str">
            <v>Pełczyńska</v>
          </cell>
        </row>
        <row r="454">
          <cell r="H454" t="str">
            <v>Pereca</v>
          </cell>
        </row>
        <row r="455">
          <cell r="H455" t="str">
            <v>Pereca Plac</v>
          </cell>
        </row>
        <row r="456">
          <cell r="H456" t="str">
            <v>Pestalozziego</v>
          </cell>
        </row>
        <row r="457">
          <cell r="H457" t="str">
            <v>Pęgowska</v>
          </cell>
        </row>
        <row r="458">
          <cell r="H458" t="str">
            <v>Piaskowa</v>
          </cell>
        </row>
        <row r="459">
          <cell r="H459" t="str">
            <v>Piastowska</v>
          </cell>
        </row>
        <row r="460">
          <cell r="H460" t="str">
            <v>Piastów</v>
          </cell>
        </row>
        <row r="461">
          <cell r="H461" t="str">
            <v>Piekarska</v>
          </cell>
        </row>
        <row r="462">
          <cell r="H462" t="str">
            <v>Piernikowa</v>
          </cell>
        </row>
        <row r="463">
          <cell r="H463" t="str">
            <v>Piękna</v>
          </cell>
        </row>
        <row r="464">
          <cell r="H464" t="str">
            <v>Pilczycka</v>
          </cell>
        </row>
        <row r="465">
          <cell r="H465" t="str">
            <v>Piłsudskiego</v>
          </cell>
        </row>
        <row r="466">
          <cell r="H466" t="str">
            <v>Piłsudskiego Pl.</v>
          </cell>
        </row>
        <row r="467">
          <cell r="H467" t="str">
            <v>Pionierska</v>
          </cell>
        </row>
        <row r="468">
          <cell r="H468" t="str">
            <v>Pionierów</v>
          </cell>
        </row>
        <row r="469">
          <cell r="H469" t="str">
            <v>Piwnika Ponurego</v>
          </cell>
        </row>
        <row r="470">
          <cell r="H470" t="str">
            <v>Piwowarska</v>
          </cell>
        </row>
        <row r="471">
          <cell r="H471" t="str">
            <v>Plater Emilii</v>
          </cell>
        </row>
        <row r="472">
          <cell r="H472" t="str">
            <v>Pleszewska</v>
          </cell>
        </row>
        <row r="473">
          <cell r="H473" t="str">
            <v>Płońskiego</v>
          </cell>
        </row>
        <row r="474">
          <cell r="H474" t="str">
            <v>Pobożnego</v>
          </cell>
        </row>
        <row r="475">
          <cell r="H475" t="str">
            <v>Pocztowa</v>
          </cell>
        </row>
        <row r="476">
          <cell r="H476" t="str">
            <v>Podchorążych</v>
          </cell>
        </row>
        <row r="477">
          <cell r="H477" t="str">
            <v>Podróżnicza</v>
          </cell>
        </row>
        <row r="478">
          <cell r="H478" t="str">
            <v>Podwale</v>
          </cell>
        </row>
        <row r="479">
          <cell r="H479" t="str">
            <v>Podwale\Komuny Paryskiej</v>
          </cell>
        </row>
        <row r="480">
          <cell r="H480" t="str">
            <v>Podwale\Krupnicza</v>
          </cell>
        </row>
        <row r="481">
          <cell r="H481" t="str">
            <v>Podwale\Skargi Piotra</v>
          </cell>
        </row>
        <row r="482">
          <cell r="H482" t="str">
            <v>Podwórcowa</v>
          </cell>
        </row>
        <row r="483">
          <cell r="H483" t="str">
            <v>Pola Wincentego</v>
          </cell>
        </row>
        <row r="484">
          <cell r="H484" t="str">
            <v>Polaka</v>
          </cell>
        </row>
        <row r="485">
          <cell r="H485" t="str">
            <v>Poleska</v>
          </cell>
        </row>
        <row r="486">
          <cell r="H486" t="str">
            <v>Polna</v>
          </cell>
        </row>
        <row r="487">
          <cell r="H487" t="str">
            <v>Polonii Wrocławskiej</v>
          </cell>
        </row>
        <row r="488">
          <cell r="H488" t="str">
            <v>Połaniecka</v>
          </cell>
        </row>
        <row r="489">
          <cell r="H489" t="str">
            <v>Połbina</v>
          </cell>
        </row>
        <row r="490">
          <cell r="H490" t="str">
            <v>Południowa</v>
          </cell>
        </row>
        <row r="491">
          <cell r="H491" t="str">
            <v>Pomorska</v>
          </cell>
        </row>
        <row r="492">
          <cell r="H492" t="str">
            <v>Poniatowskiego</v>
          </cell>
        </row>
        <row r="493">
          <cell r="H493" t="str">
            <v>Popielskiego</v>
          </cell>
        </row>
        <row r="494">
          <cell r="H494" t="str">
            <v>Poranna</v>
          </cell>
        </row>
        <row r="495">
          <cell r="H495" t="str">
            <v>Porębska</v>
          </cell>
        </row>
        <row r="496">
          <cell r="H496" t="str">
            <v>Poświęcka</v>
          </cell>
        </row>
        <row r="497">
          <cell r="H497" t="str">
            <v>Potebni</v>
          </cell>
        </row>
        <row r="498">
          <cell r="H498" t="str">
            <v>Potokowa</v>
          </cell>
        </row>
        <row r="499">
          <cell r="H499" t="str">
            <v>Powstańców Śl.</v>
          </cell>
        </row>
        <row r="500">
          <cell r="H500" t="str">
            <v>Powstańców Śl. Pl.</v>
          </cell>
        </row>
        <row r="501">
          <cell r="H501" t="str">
            <v>Powstańców Wlkp. Pl.</v>
          </cell>
        </row>
        <row r="502">
          <cell r="H502" t="str">
            <v>Północna</v>
          </cell>
        </row>
        <row r="503">
          <cell r="H503" t="str">
            <v>Pracy Al.</v>
          </cell>
        </row>
        <row r="504">
          <cell r="H504" t="str">
            <v>Prądzyńskiego</v>
          </cell>
        </row>
        <row r="505">
          <cell r="H505" t="str">
            <v>Pretficza</v>
          </cell>
        </row>
        <row r="506">
          <cell r="H506" t="str">
            <v>Probusa</v>
          </cell>
        </row>
        <row r="507">
          <cell r="H507" t="str">
            <v>Promenada</v>
          </cell>
        </row>
        <row r="508">
          <cell r="H508" t="str">
            <v>Promień</v>
          </cell>
        </row>
        <row r="509">
          <cell r="H509" t="str">
            <v>Prosta</v>
          </cell>
        </row>
        <row r="510">
          <cell r="H510" t="str">
            <v>Prudnicka</v>
          </cell>
        </row>
        <row r="511">
          <cell r="H511" t="str">
            <v>Prusa</v>
          </cell>
        </row>
        <row r="512">
          <cell r="H512" t="str">
            <v>Przednia</v>
          </cell>
        </row>
        <row r="513">
          <cell r="H513" t="str">
            <v>Przedwiośnie</v>
          </cell>
        </row>
        <row r="514">
          <cell r="H514" t="str">
            <v>Przejazdowa</v>
          </cell>
        </row>
        <row r="515">
          <cell r="H515" t="str">
            <v>Przejście Garncarskie</v>
          </cell>
        </row>
        <row r="516">
          <cell r="H516" t="str">
            <v>Przemkowska</v>
          </cell>
        </row>
        <row r="517">
          <cell r="H517" t="str">
            <v>Przesiecka</v>
          </cell>
        </row>
        <row r="518">
          <cell r="H518" t="str">
            <v>Przeskok</v>
          </cell>
        </row>
        <row r="519">
          <cell r="H519" t="str">
            <v>Przesmyckiego</v>
          </cell>
        </row>
        <row r="520">
          <cell r="H520" t="str">
            <v>Przestrzenna</v>
          </cell>
        </row>
        <row r="521">
          <cell r="H521" t="str">
            <v>Przestrzenna\Tomaszowska</v>
          </cell>
        </row>
        <row r="522">
          <cell r="H522" t="str">
            <v>Przybyszewskiego</v>
          </cell>
        </row>
        <row r="523">
          <cell r="H523" t="str">
            <v>Przyjaźni</v>
          </cell>
        </row>
        <row r="524">
          <cell r="H524" t="str">
            <v>Przystankowa</v>
          </cell>
        </row>
        <row r="525">
          <cell r="H525" t="str">
            <v>Psie Budy</v>
          </cell>
        </row>
        <row r="526">
          <cell r="H526" t="str">
            <v>Pszczelarska</v>
          </cell>
        </row>
        <row r="527">
          <cell r="H527" t="str">
            <v>Pszczyńska</v>
          </cell>
        </row>
        <row r="528">
          <cell r="H528" t="str">
            <v>Pszenna</v>
          </cell>
        </row>
        <row r="529">
          <cell r="H529" t="str">
            <v>Ptasia</v>
          </cell>
        </row>
        <row r="530">
          <cell r="H530" t="str">
            <v>Pugeta</v>
          </cell>
        </row>
        <row r="531">
          <cell r="H531" t="str">
            <v>Pułaskiego</v>
          </cell>
        </row>
        <row r="532">
          <cell r="H532" t="str">
            <v>Pułtuska</v>
          </cell>
        </row>
        <row r="533">
          <cell r="H533" t="str">
            <v>Purkyniego</v>
          </cell>
        </row>
        <row r="534">
          <cell r="H534" t="str">
            <v>Pusta</v>
          </cell>
        </row>
        <row r="535">
          <cell r="H535" t="str">
            <v>Pustecka</v>
          </cell>
        </row>
        <row r="536">
          <cell r="H536" t="str">
            <v>Puszczykowska</v>
          </cell>
        </row>
        <row r="537">
          <cell r="H537" t="str">
            <v>Racławicka</v>
          </cell>
        </row>
        <row r="538">
          <cell r="H538" t="str">
            <v>Radomska</v>
          </cell>
        </row>
        <row r="539">
          <cell r="H539" t="str">
            <v>Rajska</v>
          </cell>
        </row>
        <row r="540">
          <cell r="H540" t="str">
            <v>Rakietowa</v>
          </cell>
        </row>
        <row r="541">
          <cell r="H541" t="str">
            <v>Rakowiecka</v>
          </cell>
        </row>
        <row r="542">
          <cell r="H542" t="str">
            <v>Rdestowa</v>
          </cell>
        </row>
        <row r="543">
          <cell r="H543" t="str">
            <v xml:space="preserve">Redarów </v>
          </cell>
        </row>
        <row r="544">
          <cell r="H544" t="str">
            <v>Redycka</v>
          </cell>
        </row>
        <row r="545">
          <cell r="H545" t="str">
            <v>Reja</v>
          </cell>
        </row>
        <row r="546">
          <cell r="H546" t="str">
            <v>Rejtana</v>
          </cell>
        </row>
        <row r="547">
          <cell r="H547" t="str">
            <v>Reymonta</v>
          </cell>
        </row>
        <row r="548">
          <cell r="H548" t="str">
            <v>Rędzińska</v>
          </cell>
        </row>
        <row r="549">
          <cell r="H549" t="str">
            <v>Robotnicza</v>
          </cell>
        </row>
        <row r="550">
          <cell r="H550" t="str">
            <v>Robotnicza\Wagonowa</v>
          </cell>
        </row>
        <row r="551">
          <cell r="H551" t="str">
            <v>Rodakowskiego</v>
          </cell>
        </row>
        <row r="552">
          <cell r="H552" t="str">
            <v>Roentgena</v>
          </cell>
        </row>
        <row r="553">
          <cell r="H553" t="str">
            <v>Rolnicza</v>
          </cell>
        </row>
        <row r="554">
          <cell r="H554" t="str">
            <v>Romanowskiego</v>
          </cell>
        </row>
        <row r="555">
          <cell r="H555" t="str">
            <v>Roosevelta</v>
          </cell>
        </row>
        <row r="556">
          <cell r="H556" t="str">
            <v>Rostafińskiego</v>
          </cell>
        </row>
        <row r="557">
          <cell r="H557" t="str">
            <v>Rozbrat</v>
          </cell>
        </row>
        <row r="558">
          <cell r="H558" t="str">
            <v>Równa</v>
          </cell>
        </row>
        <row r="559">
          <cell r="H559" t="str">
            <v>Rubczaka</v>
          </cell>
        </row>
        <row r="560">
          <cell r="H560" t="str">
            <v>Rumiankowa</v>
          </cell>
        </row>
        <row r="561">
          <cell r="H561" t="str">
            <v>Ruska</v>
          </cell>
        </row>
        <row r="562">
          <cell r="H562" t="str">
            <v>Ruska \ Rzeźnicza</v>
          </cell>
        </row>
        <row r="563">
          <cell r="H563" t="str">
            <v>Rybacka</v>
          </cell>
        </row>
        <row r="564">
          <cell r="H564" t="str">
            <v>Rybia</v>
          </cell>
        </row>
        <row r="565">
          <cell r="H565" t="str">
            <v>Rybnicka</v>
          </cell>
        </row>
        <row r="566">
          <cell r="H566" t="str">
            <v>Rychtalska</v>
          </cell>
        </row>
        <row r="567">
          <cell r="H567" t="str">
            <v>Rydygiera</v>
          </cell>
        </row>
        <row r="568">
          <cell r="H568" t="str">
            <v>Rynek</v>
          </cell>
        </row>
        <row r="569">
          <cell r="H569" t="str">
            <v>Rynek-Ratusz</v>
          </cell>
        </row>
        <row r="570">
          <cell r="H570" t="str">
            <v>Rytownicza</v>
          </cell>
        </row>
        <row r="571">
          <cell r="H571" t="str">
            <v>Rytownicza\Średzka</v>
          </cell>
        </row>
        <row r="572">
          <cell r="H572" t="str">
            <v>Rzeźnicza</v>
          </cell>
        </row>
        <row r="573">
          <cell r="H573" t="str">
            <v>Sadownicza</v>
          </cell>
        </row>
        <row r="574">
          <cell r="H574" t="str">
            <v>Samborska</v>
          </cell>
        </row>
        <row r="575">
          <cell r="H575" t="str">
            <v>Saperów</v>
          </cell>
        </row>
        <row r="576">
          <cell r="H576" t="str">
            <v>Sarbinowska</v>
          </cell>
        </row>
        <row r="577">
          <cell r="H577" t="str">
            <v>Sądowa</v>
          </cell>
        </row>
        <row r="578">
          <cell r="H578" t="str">
            <v>Semaforowa</v>
          </cell>
        </row>
        <row r="579">
          <cell r="H579" t="str">
            <v>Sempołowskiej</v>
          </cell>
        </row>
        <row r="580">
          <cell r="H580" t="str">
            <v>Sernicka</v>
          </cell>
        </row>
        <row r="581">
          <cell r="H581" t="str">
            <v>Serowarska</v>
          </cell>
        </row>
        <row r="582">
          <cell r="H582" t="str">
            <v>Sępa Szarzyńskiego</v>
          </cell>
        </row>
        <row r="583">
          <cell r="H583" t="str">
            <v>Sępa Szarzyńskiego-Ukryta-Rozbrat</v>
          </cell>
        </row>
        <row r="584">
          <cell r="H584" t="str">
            <v>Siemieńskiego</v>
          </cell>
        </row>
        <row r="585">
          <cell r="H585" t="str">
            <v>Siemiradzkiego</v>
          </cell>
        </row>
        <row r="586">
          <cell r="H586" t="str">
            <v>Sienkiewicza</v>
          </cell>
        </row>
        <row r="587">
          <cell r="H587" t="str">
            <v>Sienna</v>
          </cell>
        </row>
        <row r="588">
          <cell r="H588" t="str">
            <v>Sierakowskiego</v>
          </cell>
        </row>
        <row r="589">
          <cell r="H589" t="str">
            <v>Sikorskiego</v>
          </cell>
        </row>
        <row r="590">
          <cell r="H590" t="str">
            <v>Skarbowców</v>
          </cell>
        </row>
        <row r="591">
          <cell r="H591" t="str">
            <v>Skargi Piotra</v>
          </cell>
        </row>
        <row r="592">
          <cell r="H592" t="str">
            <v>Skłodowskiej-Curie</v>
          </cell>
        </row>
        <row r="593">
          <cell r="H593" t="str">
            <v>Skoczylasa</v>
          </cell>
        </row>
        <row r="594">
          <cell r="H594" t="str">
            <v>Skoczylasa (Średzka 13)</v>
          </cell>
        </row>
        <row r="595">
          <cell r="H595" t="str">
            <v>Skrajna</v>
          </cell>
        </row>
        <row r="596">
          <cell r="H596" t="str">
            <v>Skwierzyńska</v>
          </cell>
        </row>
        <row r="597">
          <cell r="H597" t="str">
            <v>Sławka</v>
          </cell>
        </row>
        <row r="598">
          <cell r="H598" t="str">
            <v>Słowackiego Wybrzeże</v>
          </cell>
        </row>
        <row r="599">
          <cell r="H599" t="str">
            <v>Słowiańska</v>
          </cell>
        </row>
        <row r="600">
          <cell r="H600" t="str">
            <v>Słowiańska - plomba</v>
          </cell>
        </row>
        <row r="601">
          <cell r="H601" t="str">
            <v>Słowicza</v>
          </cell>
        </row>
        <row r="602">
          <cell r="H602" t="str">
            <v>Słubicka</v>
          </cell>
        </row>
        <row r="603">
          <cell r="H603" t="str">
            <v>Smocza</v>
          </cell>
        </row>
        <row r="604">
          <cell r="H604" t="str">
            <v>Smoluchowskiego</v>
          </cell>
        </row>
        <row r="605">
          <cell r="H605" t="str">
            <v>Sochaczewska</v>
          </cell>
        </row>
        <row r="606">
          <cell r="H606" t="str">
            <v>Sokola</v>
          </cell>
        </row>
        <row r="607">
          <cell r="H607" t="str">
            <v>Sokola\Ulanowskiego</v>
          </cell>
        </row>
        <row r="608">
          <cell r="H608" t="str">
            <v>Sokolnicza</v>
          </cell>
        </row>
        <row r="609">
          <cell r="H609" t="str">
            <v>Solny Pl.</v>
          </cell>
        </row>
        <row r="610">
          <cell r="H610" t="str">
            <v>Solskiego</v>
          </cell>
        </row>
        <row r="611">
          <cell r="H611" t="str">
            <v>Sołtysowicka</v>
          </cell>
        </row>
        <row r="612">
          <cell r="H612" t="str">
            <v>Sopocka</v>
          </cell>
        </row>
        <row r="613">
          <cell r="H613" t="str">
            <v>Sowia</v>
          </cell>
        </row>
        <row r="614">
          <cell r="H614" t="str">
            <v>Sowińskiego</v>
          </cell>
        </row>
        <row r="615">
          <cell r="H615" t="str">
            <v>Spadochroniarzy</v>
          </cell>
        </row>
        <row r="616">
          <cell r="H616" t="str">
            <v>Spiżowa</v>
          </cell>
        </row>
        <row r="617">
          <cell r="H617" t="str">
            <v>Spółdzielcza</v>
          </cell>
        </row>
        <row r="618">
          <cell r="H618" t="str">
            <v>Srebrny Pl.</v>
          </cell>
        </row>
        <row r="619">
          <cell r="H619" t="str">
            <v>Stabłowicka</v>
          </cell>
        </row>
        <row r="620">
          <cell r="H620" t="str">
            <v>Staffa</v>
          </cell>
        </row>
        <row r="621">
          <cell r="H621" t="str">
            <v>Stalowa</v>
          </cell>
        </row>
        <row r="622">
          <cell r="H622" t="str">
            <v>Stalowowolska</v>
          </cell>
        </row>
        <row r="623">
          <cell r="H623" t="str">
            <v>Stanisławowska</v>
          </cell>
        </row>
        <row r="624">
          <cell r="H624" t="str">
            <v>Stanisławskiego</v>
          </cell>
        </row>
        <row r="625">
          <cell r="H625" t="str">
            <v>Starobielawska</v>
          </cell>
        </row>
        <row r="626">
          <cell r="H626" t="str">
            <v>Starodworska</v>
          </cell>
        </row>
        <row r="627">
          <cell r="H627" t="str">
            <v>Starościńska</v>
          </cell>
        </row>
        <row r="628">
          <cell r="H628" t="str">
            <v>Staszica Pl.</v>
          </cell>
        </row>
        <row r="629">
          <cell r="H629" t="str">
            <v>Stawowa</v>
          </cell>
        </row>
        <row r="630">
          <cell r="H630" t="str">
            <v>Stefczyka</v>
          </cell>
        </row>
        <row r="631">
          <cell r="H631" t="str">
            <v>Stein Edyty</v>
          </cell>
        </row>
        <row r="632">
          <cell r="H632" t="str">
            <v>Stoczniowa</v>
          </cell>
        </row>
        <row r="633">
          <cell r="H633" t="str">
            <v>Stopnicka</v>
          </cell>
        </row>
        <row r="634">
          <cell r="H634" t="str">
            <v>Strachocińska</v>
          </cell>
        </row>
        <row r="635">
          <cell r="H635" t="str">
            <v>Strachowicka</v>
          </cell>
        </row>
        <row r="636">
          <cell r="H636" t="str">
            <v>Strachowskiego</v>
          </cell>
        </row>
        <row r="637">
          <cell r="H637" t="str">
            <v>Struga</v>
          </cell>
        </row>
        <row r="638">
          <cell r="H638" t="str">
            <v>Strzegomska</v>
          </cell>
        </row>
        <row r="639">
          <cell r="H639" t="str">
            <v>Strzelecki Pl.</v>
          </cell>
        </row>
        <row r="640">
          <cell r="H640" t="str">
            <v>Stysia</v>
          </cell>
        </row>
        <row r="641">
          <cell r="H641" t="str">
            <v>Suchardy</v>
          </cell>
        </row>
        <row r="642">
          <cell r="H642" t="str">
            <v>Sudecka</v>
          </cell>
        </row>
        <row r="643">
          <cell r="H643" t="str">
            <v>Sukiennice</v>
          </cell>
        </row>
        <row r="644">
          <cell r="H644" t="str">
            <v>Sulejowska</v>
          </cell>
        </row>
        <row r="645">
          <cell r="H645" t="str">
            <v>Swobodna</v>
          </cell>
        </row>
        <row r="646">
          <cell r="H646" t="str">
            <v>Swojczycka</v>
          </cell>
        </row>
        <row r="647">
          <cell r="H647" t="str">
            <v>Sycowska</v>
          </cell>
        </row>
        <row r="648">
          <cell r="H648" t="str">
            <v>Szajnochy</v>
          </cell>
        </row>
        <row r="649">
          <cell r="H649" t="str">
            <v>Szanieckiego</v>
          </cell>
        </row>
        <row r="650">
          <cell r="H650" t="str">
            <v>Szczecińska</v>
          </cell>
        </row>
        <row r="651">
          <cell r="H651" t="str">
            <v>Szczęśliwa</v>
          </cell>
        </row>
        <row r="652">
          <cell r="H652" t="str">
            <v>Szczygla</v>
          </cell>
        </row>
        <row r="653">
          <cell r="H653" t="str">
            <v>Szczyrki</v>
          </cell>
        </row>
        <row r="654">
          <cell r="H654" t="str">
            <v>Szczytnicka</v>
          </cell>
        </row>
        <row r="655">
          <cell r="H655" t="str">
            <v>Szewczenki</v>
          </cell>
        </row>
        <row r="656">
          <cell r="H656" t="str">
            <v>Szewska</v>
          </cell>
        </row>
        <row r="657">
          <cell r="H657" t="str">
            <v>Szklarska</v>
          </cell>
        </row>
        <row r="658">
          <cell r="H658" t="str">
            <v>Szpitalna</v>
          </cell>
        </row>
        <row r="659">
          <cell r="H659" t="str">
            <v>Sztabowa</v>
          </cell>
        </row>
        <row r="660">
          <cell r="H660" t="str">
            <v>Szymanowskiego</v>
          </cell>
        </row>
        <row r="661">
          <cell r="H661" t="str">
            <v>Ściegiennego</v>
          </cell>
        </row>
        <row r="662">
          <cell r="H662" t="str">
            <v>Ślężna</v>
          </cell>
        </row>
        <row r="663">
          <cell r="H663" t="str">
            <v>Ślężoujście</v>
          </cell>
        </row>
        <row r="664">
          <cell r="H664" t="str">
            <v>Śniadeckich</v>
          </cell>
        </row>
        <row r="665">
          <cell r="H665" t="str">
            <v>Śniegockiego</v>
          </cell>
        </row>
        <row r="666">
          <cell r="H666" t="str">
            <v>Średzka</v>
          </cell>
        </row>
        <row r="667">
          <cell r="H667" t="str">
            <v>Środkowa</v>
          </cell>
        </row>
        <row r="668">
          <cell r="H668" t="str">
            <v>Śrutowa</v>
          </cell>
        </row>
        <row r="669">
          <cell r="H669" t="str">
            <v>Świątnicka</v>
          </cell>
        </row>
        <row r="670">
          <cell r="H670" t="str">
            <v>Świdnicka</v>
          </cell>
        </row>
        <row r="671">
          <cell r="H671" t="str">
            <v>Świdnicka\Mennicza</v>
          </cell>
        </row>
        <row r="672">
          <cell r="H672" t="str">
            <v>Świdnicka\Of.Oświęcimskich</v>
          </cell>
        </row>
        <row r="673">
          <cell r="H673" t="str">
            <v>Świebodzka</v>
          </cell>
        </row>
        <row r="674">
          <cell r="H674" t="str">
            <v>Świeradowska</v>
          </cell>
        </row>
        <row r="675">
          <cell r="H675" t="str">
            <v>Świeża</v>
          </cell>
        </row>
        <row r="676">
          <cell r="H676" t="str">
            <v>Świętochowskiego</v>
          </cell>
        </row>
        <row r="677">
          <cell r="H677" t="str">
            <v>Świętokrzyska</v>
          </cell>
        </row>
        <row r="678">
          <cell r="H678" t="str">
            <v>Świstackiego</v>
          </cell>
        </row>
        <row r="679">
          <cell r="H679" t="str">
            <v>Tarnobrzeska</v>
          </cell>
        </row>
        <row r="680">
          <cell r="H680" t="str">
            <v>Tarnogajska</v>
          </cell>
        </row>
        <row r="681">
          <cell r="H681" t="str">
            <v>Tatarska</v>
          </cell>
        </row>
        <row r="682">
          <cell r="H682" t="str">
            <v>Tczewska</v>
          </cell>
        </row>
        <row r="683">
          <cell r="H683" t="str">
            <v>Terenowa</v>
          </cell>
        </row>
        <row r="684">
          <cell r="H684" t="str">
            <v>Tęczowa</v>
          </cell>
        </row>
        <row r="685">
          <cell r="H685" t="str">
            <v>Tkacka</v>
          </cell>
        </row>
        <row r="686">
          <cell r="H686" t="str">
            <v>Tomasza Biskupa I</v>
          </cell>
        </row>
        <row r="687">
          <cell r="H687" t="str">
            <v>Tomaszowska</v>
          </cell>
        </row>
        <row r="688">
          <cell r="H688" t="str">
            <v>Tomaszowska, Łódzka, Przestrzenna, Wesoła</v>
          </cell>
        </row>
        <row r="689">
          <cell r="H689" t="str">
            <v>Torfowa</v>
          </cell>
        </row>
        <row r="690">
          <cell r="H690" t="str">
            <v>Toruńska</v>
          </cell>
        </row>
        <row r="691">
          <cell r="H691" t="str">
            <v>Towarowa</v>
          </cell>
        </row>
        <row r="692">
          <cell r="H692" t="str">
            <v>Tramwajowa</v>
          </cell>
        </row>
        <row r="693">
          <cell r="H693" t="str">
            <v>Traugutta</v>
          </cell>
        </row>
        <row r="694">
          <cell r="H694" t="str">
            <v>Trawowa</v>
          </cell>
        </row>
        <row r="695">
          <cell r="H695" t="str">
            <v>Trzebnicka</v>
          </cell>
        </row>
        <row r="696">
          <cell r="H696" t="str">
            <v>Trzebowiańska</v>
          </cell>
        </row>
        <row r="697">
          <cell r="H697" t="str">
            <v>Trzmielowicka</v>
          </cell>
        </row>
        <row r="698">
          <cell r="H698" t="str">
            <v>Tuwima</v>
          </cell>
        </row>
        <row r="699">
          <cell r="H699" t="str">
            <v>Tylna</v>
          </cell>
        </row>
        <row r="700">
          <cell r="H700" t="str">
            <v>Tymiankowa</v>
          </cell>
        </row>
        <row r="701">
          <cell r="H701" t="str">
            <v>Tyska</v>
          </cell>
        </row>
        <row r="702">
          <cell r="H702" t="str">
            <v>Ujejskiego</v>
          </cell>
        </row>
        <row r="703">
          <cell r="H703" t="str">
            <v>Ukraińska</v>
          </cell>
        </row>
        <row r="704">
          <cell r="H704" t="str">
            <v>Ukryta</v>
          </cell>
        </row>
        <row r="705">
          <cell r="H705" t="str">
            <v>Ulanowskiego</v>
          </cell>
        </row>
        <row r="706">
          <cell r="H706" t="str">
            <v>Uniwersytecka</v>
          </cell>
        </row>
        <row r="707">
          <cell r="H707" t="str">
            <v>Uniwersytecki Pl.</v>
          </cell>
        </row>
        <row r="708">
          <cell r="H708" t="str">
            <v>Urbańskiego</v>
          </cell>
        </row>
        <row r="709">
          <cell r="H709" t="str">
            <v>Ustronie</v>
          </cell>
        </row>
        <row r="710">
          <cell r="H710" t="str">
            <v>Waflowa</v>
          </cell>
        </row>
        <row r="711">
          <cell r="H711" t="str">
            <v>Wagonowa</v>
          </cell>
        </row>
        <row r="712">
          <cell r="H712" t="str">
            <v>Walecznych</v>
          </cell>
        </row>
        <row r="713">
          <cell r="H713" t="str">
            <v>Walecznych\Prusa</v>
          </cell>
        </row>
        <row r="714">
          <cell r="H714" t="str">
            <v>Walecznych\Prusa\Reja</v>
          </cell>
        </row>
        <row r="715">
          <cell r="H715" t="str">
            <v>Walecznych\Reja</v>
          </cell>
        </row>
        <row r="716">
          <cell r="H716" t="str">
            <v>Wałbrzyska</v>
          </cell>
        </row>
        <row r="717">
          <cell r="H717" t="str">
            <v>Wandy</v>
          </cell>
        </row>
        <row r="718">
          <cell r="H718" t="str">
            <v>Wapienna</v>
          </cell>
        </row>
        <row r="719">
          <cell r="H719" t="str">
            <v>Wapienna\Św.Jerzego</v>
          </cell>
        </row>
        <row r="720">
          <cell r="H720" t="str">
            <v>Warszawska</v>
          </cell>
        </row>
        <row r="721">
          <cell r="H721" t="str">
            <v>Waryńskiego</v>
          </cell>
        </row>
        <row r="722">
          <cell r="H722" t="str">
            <v>Wawrzyniaka</v>
          </cell>
        </row>
        <row r="723">
          <cell r="H723" t="str">
            <v>Wąska</v>
          </cell>
        </row>
        <row r="724">
          <cell r="H724" t="str">
            <v>Wejherowska</v>
          </cell>
        </row>
        <row r="725">
          <cell r="H725" t="str">
            <v>Wełniana</v>
          </cell>
        </row>
        <row r="726">
          <cell r="H726" t="str">
            <v>Wesoła</v>
          </cell>
        </row>
        <row r="727">
          <cell r="H727" t="str">
            <v>Wesołowskiego</v>
          </cell>
        </row>
        <row r="728">
          <cell r="H728" t="str">
            <v>Westerplatte</v>
          </cell>
        </row>
        <row r="729">
          <cell r="H729" t="str">
            <v>Wędkarzy</v>
          </cell>
        </row>
        <row r="730">
          <cell r="H730" t="str">
            <v>Węgierska</v>
          </cell>
        </row>
        <row r="731">
          <cell r="H731" t="str">
            <v>Węgoborska</v>
          </cell>
        </row>
        <row r="732">
          <cell r="H732" t="str">
            <v>Widna</v>
          </cell>
        </row>
        <row r="733">
          <cell r="H733" t="str">
            <v>Widok</v>
          </cell>
        </row>
        <row r="734">
          <cell r="H734" t="str">
            <v>Wieczorna</v>
          </cell>
        </row>
        <row r="735">
          <cell r="H735" t="str">
            <v>Wieczorna 22-Południowa</v>
          </cell>
        </row>
        <row r="736">
          <cell r="H736" t="str">
            <v>Wieczysta</v>
          </cell>
        </row>
        <row r="737">
          <cell r="H737" t="str">
            <v>Wieczysta\Widna</v>
          </cell>
        </row>
        <row r="738">
          <cell r="H738" t="str">
            <v>Wiejska</v>
          </cell>
        </row>
        <row r="739">
          <cell r="H739" t="str">
            <v>Wielka</v>
          </cell>
        </row>
        <row r="740">
          <cell r="H740" t="str">
            <v>Wielkopolska</v>
          </cell>
        </row>
        <row r="741">
          <cell r="H741" t="str">
            <v>Wieniawskiego</v>
          </cell>
        </row>
        <row r="742">
          <cell r="H742" t="str">
            <v>Wierzbowa</v>
          </cell>
        </row>
        <row r="743">
          <cell r="H743" t="str">
            <v>Wieśniacza</v>
          </cell>
        </row>
        <row r="744">
          <cell r="H744" t="str">
            <v>Wietnamska</v>
          </cell>
        </row>
        <row r="745">
          <cell r="H745" t="str">
            <v>Więckowskiego</v>
          </cell>
        </row>
        <row r="746">
          <cell r="H746" t="str">
            <v>Więckowskiego\Kościuszki</v>
          </cell>
        </row>
        <row r="747">
          <cell r="H747" t="str">
            <v>Więzienna</v>
          </cell>
        </row>
        <row r="748">
          <cell r="H748" t="str">
            <v>Wilcza</v>
          </cell>
        </row>
        <row r="749">
          <cell r="H749" t="str">
            <v>Wileńska</v>
          </cell>
        </row>
        <row r="750">
          <cell r="H750" t="str">
            <v>Wilgowa</v>
          </cell>
        </row>
        <row r="751">
          <cell r="H751" t="str">
            <v>Wilkszyńska</v>
          </cell>
        </row>
        <row r="752">
          <cell r="H752" t="str">
            <v>Wincentego Św.</v>
          </cell>
        </row>
        <row r="753">
          <cell r="H753" t="str">
            <v>Wiosenna</v>
          </cell>
        </row>
        <row r="754">
          <cell r="H754" t="str">
            <v>Wiśniowa Al.</v>
          </cell>
        </row>
        <row r="755">
          <cell r="H755" t="str">
            <v>Wita Stwosza</v>
          </cell>
        </row>
        <row r="756">
          <cell r="H756" t="str">
            <v>Witelona</v>
          </cell>
        </row>
        <row r="757">
          <cell r="H757" t="str">
            <v>Wittiga</v>
          </cell>
        </row>
        <row r="758">
          <cell r="H758" t="str">
            <v>Włodarska</v>
          </cell>
        </row>
        <row r="759">
          <cell r="H759" t="str">
            <v>Włodkowica</v>
          </cell>
        </row>
        <row r="760">
          <cell r="H760" t="str">
            <v>Włościańska</v>
          </cell>
        </row>
        <row r="761">
          <cell r="H761" t="str">
            <v>Wojrowicka</v>
          </cell>
        </row>
        <row r="762">
          <cell r="H762" t="str">
            <v>Wojtkiewicza</v>
          </cell>
        </row>
        <row r="763">
          <cell r="H763" t="str">
            <v>Wolbromska</v>
          </cell>
        </row>
        <row r="764">
          <cell r="H764" t="str">
            <v>Wolności Pl.</v>
          </cell>
        </row>
        <row r="765">
          <cell r="H765" t="str">
            <v>Wolska</v>
          </cell>
        </row>
        <row r="766">
          <cell r="H766" t="str">
            <v>Worcella</v>
          </cell>
        </row>
        <row r="767">
          <cell r="H767" t="str">
            <v>Wrocławczyka</v>
          </cell>
        </row>
        <row r="768">
          <cell r="H768" t="str">
            <v>Wrońskiego</v>
          </cell>
        </row>
        <row r="769">
          <cell r="H769" t="str">
            <v>Wróblewskiego</v>
          </cell>
        </row>
        <row r="770">
          <cell r="H770" t="str">
            <v>Wschowska</v>
          </cell>
        </row>
        <row r="771">
          <cell r="H771" t="str">
            <v>Wyboista</v>
          </cell>
        </row>
        <row r="772">
          <cell r="H772" t="str">
            <v>Wygodna</v>
          </cell>
        </row>
        <row r="773">
          <cell r="H773" t="str">
            <v>Wysłoucha</v>
          </cell>
        </row>
        <row r="774">
          <cell r="H774" t="str">
            <v>Wysockiego</v>
          </cell>
        </row>
        <row r="775">
          <cell r="H775" t="str">
            <v>Wysoka</v>
          </cell>
        </row>
        <row r="776">
          <cell r="H776" t="str">
            <v>Wyspa Słodowa</v>
          </cell>
        </row>
        <row r="777">
          <cell r="H777" t="str">
            <v>Wyspiańskiego Wybrzeże</v>
          </cell>
        </row>
        <row r="778">
          <cell r="H778" t="str">
            <v>Wyszyńskiego</v>
          </cell>
        </row>
        <row r="779">
          <cell r="H779" t="str">
            <v>Wyszyńskiego - parking</v>
          </cell>
        </row>
        <row r="780">
          <cell r="H780" t="str">
            <v>Wyzwolenia Pl.</v>
          </cell>
        </row>
        <row r="781">
          <cell r="H781" t="str">
            <v>Zabrodzka</v>
          </cell>
        </row>
        <row r="782">
          <cell r="H782" t="str">
            <v>Zachodnia</v>
          </cell>
        </row>
        <row r="783">
          <cell r="H783" t="str">
            <v>Zagrodnicza</v>
          </cell>
        </row>
        <row r="784">
          <cell r="H784" t="str">
            <v>Zajączkowska</v>
          </cell>
        </row>
        <row r="785">
          <cell r="H785" t="str">
            <v>Zakładowa</v>
          </cell>
        </row>
        <row r="786">
          <cell r="H786" t="str">
            <v>Zaolziańska</v>
          </cell>
        </row>
        <row r="787">
          <cell r="H787" t="str">
            <v>Zaporoska</v>
          </cell>
        </row>
        <row r="788">
          <cell r="H788" t="str">
            <v>Zatorska</v>
          </cell>
        </row>
        <row r="789">
          <cell r="H789" t="str">
            <v>Zaułek Rogoziński</v>
          </cell>
        </row>
        <row r="790">
          <cell r="H790" t="str">
            <v>Zawierciańska</v>
          </cell>
        </row>
        <row r="791">
          <cell r="H791" t="str">
            <v>Ząbkowicka</v>
          </cell>
        </row>
        <row r="792">
          <cell r="H792" t="str">
            <v>Zduńska</v>
          </cell>
        </row>
        <row r="793">
          <cell r="H793" t="str">
            <v>Zegadłowicza</v>
          </cell>
        </row>
        <row r="794">
          <cell r="H794" t="str">
            <v>Zegadłowicza\Kraszewskiego</v>
          </cell>
        </row>
        <row r="795">
          <cell r="H795" t="str">
            <v>Zelwerowicza</v>
          </cell>
        </row>
        <row r="796">
          <cell r="H796" t="str">
            <v>Zgodna</v>
          </cell>
        </row>
        <row r="797">
          <cell r="H797" t="str">
            <v>Zgody Pl.</v>
          </cell>
        </row>
        <row r="798">
          <cell r="H798" t="str">
            <v>Zielińskiego</v>
          </cell>
        </row>
        <row r="799">
          <cell r="H799" t="str">
            <v>Zielińskiego\Piłsudskiego</v>
          </cell>
        </row>
        <row r="800">
          <cell r="H800" t="str">
            <v>Zielonogórska</v>
          </cell>
        </row>
        <row r="801">
          <cell r="H801" t="str">
            <v>Ziemniaczana</v>
          </cell>
        </row>
        <row r="802">
          <cell r="H802" t="str">
            <v>Ziębicka</v>
          </cell>
        </row>
        <row r="803">
          <cell r="H803" t="str">
            <v>Złotnicka</v>
          </cell>
        </row>
        <row r="804">
          <cell r="H804" t="str">
            <v>Złotnicka\Wielkopolska 16</v>
          </cell>
        </row>
        <row r="805">
          <cell r="H805" t="str">
            <v>Złotostocka</v>
          </cell>
        </row>
        <row r="806">
          <cell r="H806" t="str">
            <v>Zwycięska</v>
          </cell>
        </row>
        <row r="807">
          <cell r="H807" t="str">
            <v>Zyndrama</v>
          </cell>
        </row>
        <row r="808">
          <cell r="H808" t="str">
            <v>Żagańska</v>
          </cell>
        </row>
        <row r="809">
          <cell r="H809" t="str">
            <v>Żegiestowska</v>
          </cell>
        </row>
        <row r="810">
          <cell r="H810" t="str">
            <v>Żeglarska</v>
          </cell>
        </row>
        <row r="811">
          <cell r="H811" t="str">
            <v>Żelazna</v>
          </cell>
        </row>
        <row r="812">
          <cell r="H812" t="str">
            <v>Żernicka</v>
          </cell>
        </row>
        <row r="813">
          <cell r="H813" t="str">
            <v>Żeromskiego</v>
          </cell>
        </row>
        <row r="814">
          <cell r="H814" t="str">
            <v>Żiżki</v>
          </cell>
        </row>
        <row r="815">
          <cell r="H815" t="str">
            <v>Żmichowskiej</v>
          </cell>
        </row>
        <row r="816">
          <cell r="H816" t="str">
            <v>Żmigrodzka</v>
          </cell>
        </row>
        <row r="817">
          <cell r="H817" t="str">
            <v>Żołnierska</v>
          </cell>
        </row>
        <row r="818">
          <cell r="H818" t="str">
            <v>Żwirowa</v>
          </cell>
        </row>
        <row r="819">
          <cell r="H819" t="str">
            <v>Żytnia</v>
          </cell>
        </row>
        <row r="820">
          <cell r="H820" t="str">
            <v>Żywiecka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D361"/>
  <sheetViews>
    <sheetView tabSelected="1" view="pageBreakPreview" zoomScale="110" zoomScaleNormal="85" zoomScaleSheetLayoutView="110" workbookViewId="0">
      <pane xSplit="8" ySplit="5" topLeftCell="I6" activePane="bottomRight" state="frozen"/>
      <selection pane="topRight" activeCell="H1" sqref="H1"/>
      <selection pane="bottomLeft" activeCell="A5" sqref="A5"/>
      <selection pane="bottomRight" activeCell="R14" sqref="R14"/>
    </sheetView>
  </sheetViews>
  <sheetFormatPr defaultRowHeight="13.2"/>
  <cols>
    <col min="2" max="2" width="4.109375" customWidth="1"/>
    <col min="3" max="3" width="43.44140625" customWidth="1"/>
    <col min="4" max="4" width="9.44140625" customWidth="1"/>
    <col min="6" max="6" width="9.109375" hidden="1" customWidth="1"/>
    <col min="8" max="8" width="9.109375" hidden="1" customWidth="1"/>
    <col min="11" max="11" width="9.109375" hidden="1" customWidth="1"/>
    <col min="17" max="17" width="8.109375" customWidth="1"/>
  </cols>
  <sheetData>
    <row r="1" spans="2:17" ht="54" customHeight="1">
      <c r="O1" s="83" t="s">
        <v>259</v>
      </c>
      <c r="P1" s="84"/>
      <c r="Q1" s="84"/>
    </row>
    <row r="2" spans="2:17" ht="43.5" customHeight="1">
      <c r="B2" s="85" t="s">
        <v>244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2:17" s="1" customFormat="1" ht="13.2" customHeight="1">
      <c r="B3" s="79" t="s">
        <v>1</v>
      </c>
      <c r="C3" s="79" t="s">
        <v>2</v>
      </c>
      <c r="D3" s="79" t="s">
        <v>3</v>
      </c>
      <c r="E3" s="79" t="s">
        <v>4</v>
      </c>
      <c r="F3" s="80" t="s">
        <v>5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2:17" s="1" customFormat="1" ht="24">
      <c r="B4" s="79"/>
      <c r="C4" s="79"/>
      <c r="D4" s="79"/>
      <c r="E4" s="79"/>
      <c r="F4" s="2" t="s">
        <v>6</v>
      </c>
      <c r="G4" s="62" t="s">
        <v>7</v>
      </c>
      <c r="H4" s="54" t="s">
        <v>8</v>
      </c>
      <c r="I4" s="62" t="s">
        <v>208</v>
      </c>
      <c r="J4" s="62" t="s">
        <v>9</v>
      </c>
      <c r="K4" s="62">
        <v>2014</v>
      </c>
      <c r="L4" s="62">
        <v>2015</v>
      </c>
      <c r="M4" s="62">
        <v>2016</v>
      </c>
      <c r="N4" s="62">
        <v>2017</v>
      </c>
      <c r="O4" s="62">
        <v>2018</v>
      </c>
      <c r="P4" s="62">
        <v>2019</v>
      </c>
      <c r="Q4" s="62" t="s">
        <v>0</v>
      </c>
    </row>
    <row r="5" spans="2:17" s="1" customFormat="1">
      <c r="B5" s="3" t="s">
        <v>10</v>
      </c>
      <c r="C5" s="3" t="s">
        <v>11</v>
      </c>
      <c r="D5" s="3" t="s">
        <v>12</v>
      </c>
      <c r="E5" s="3" t="s">
        <v>13</v>
      </c>
      <c r="F5" s="2"/>
      <c r="G5" s="3" t="s">
        <v>14</v>
      </c>
      <c r="H5" s="55"/>
      <c r="I5" s="3" t="s">
        <v>15</v>
      </c>
      <c r="J5" s="3">
        <v>7</v>
      </c>
      <c r="K5" s="3" t="s">
        <v>18</v>
      </c>
      <c r="L5" s="3" t="s">
        <v>212</v>
      </c>
      <c r="M5" s="3" t="s">
        <v>213</v>
      </c>
      <c r="N5" s="3" t="s">
        <v>16</v>
      </c>
      <c r="O5" s="3" t="s">
        <v>17</v>
      </c>
      <c r="P5" s="3" t="s">
        <v>18</v>
      </c>
      <c r="Q5" s="3" t="s">
        <v>19</v>
      </c>
    </row>
    <row r="6" spans="2:17" s="4" customFormat="1" ht="17.25" customHeight="1">
      <c r="B6" s="76" t="s">
        <v>269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</row>
    <row r="7" spans="2:17" s="5" customFormat="1" ht="30.6" customHeight="1">
      <c r="B7" s="57">
        <v>1</v>
      </c>
      <c r="C7" s="7" t="s">
        <v>21</v>
      </c>
      <c r="D7" s="8" t="s">
        <v>237</v>
      </c>
      <c r="E7" s="9" t="s">
        <v>22</v>
      </c>
      <c r="F7" s="10">
        <f>G7-G9</f>
        <v>178211.82600000003</v>
      </c>
      <c r="G7" s="11">
        <f t="shared" ref="G7:G38" si="0">H7+J7+K7+Q7</f>
        <v>178679.82600000003</v>
      </c>
      <c r="H7" s="35">
        <f>H8+H9</f>
        <v>75377.472999999998</v>
      </c>
      <c r="I7" s="22">
        <f t="shared" ref="I7:I15" si="1">H7+K7</f>
        <v>88290.877999999997</v>
      </c>
      <c r="J7" s="35">
        <f t="shared" ref="J7:J25" si="2">SUM(L7:P7)</f>
        <v>74738.748000000007</v>
      </c>
      <c r="K7" s="11">
        <f t="shared" ref="K7:Q7" si="3">SUM(K8:K9)</f>
        <v>12913.405000000001</v>
      </c>
      <c r="L7" s="11">
        <f t="shared" si="3"/>
        <v>16373.414000000001</v>
      </c>
      <c r="M7" s="11">
        <f t="shared" si="3"/>
        <v>13977</v>
      </c>
      <c r="N7" s="11">
        <f t="shared" si="3"/>
        <v>14382.15</v>
      </c>
      <c r="O7" s="11">
        <f t="shared" si="3"/>
        <v>14811.815000000001</v>
      </c>
      <c r="P7" s="11">
        <f t="shared" si="3"/>
        <v>15194.369000000001</v>
      </c>
      <c r="Q7" s="11">
        <f t="shared" si="3"/>
        <v>15650.2</v>
      </c>
    </row>
    <row r="8" spans="2:17" s="5" customFormat="1" ht="12" customHeight="1">
      <c r="B8" s="58"/>
      <c r="C8" s="13" t="s">
        <v>23</v>
      </c>
      <c r="D8" s="14"/>
      <c r="E8" s="15"/>
      <c r="F8" s="16"/>
      <c r="G8" s="17">
        <f t="shared" si="0"/>
        <v>178211.82600000003</v>
      </c>
      <c r="H8" s="18">
        <v>74909.472999999998</v>
      </c>
      <c r="I8" s="17">
        <f t="shared" si="1"/>
        <v>87822.877999999997</v>
      </c>
      <c r="J8" s="17">
        <f t="shared" si="2"/>
        <v>74738.748000000007</v>
      </c>
      <c r="K8" s="17">
        <v>12913.405000000001</v>
      </c>
      <c r="L8" s="17">
        <f>16243.414+130</f>
        <v>16373.414000000001</v>
      </c>
      <c r="M8" s="32">
        <f>13977</f>
        <v>13977</v>
      </c>
      <c r="N8" s="17">
        <v>14382.15</v>
      </c>
      <c r="O8" s="17">
        <v>14811.815000000001</v>
      </c>
      <c r="P8" s="17">
        <v>15194.369000000001</v>
      </c>
      <c r="Q8" s="17">
        <v>15650.2</v>
      </c>
    </row>
    <row r="9" spans="2:17" s="4" customFormat="1" ht="12" customHeight="1">
      <c r="B9" s="58"/>
      <c r="C9" s="13" t="s">
        <v>24</v>
      </c>
      <c r="D9" s="14"/>
      <c r="E9" s="15"/>
      <c r="F9" s="16"/>
      <c r="G9" s="17">
        <f t="shared" si="0"/>
        <v>468</v>
      </c>
      <c r="H9" s="18">
        <v>468</v>
      </c>
      <c r="I9" s="17">
        <f t="shared" si="1"/>
        <v>468</v>
      </c>
      <c r="J9" s="17">
        <f t="shared" si="2"/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f>SUM(O9:O9)</f>
        <v>0</v>
      </c>
    </row>
    <row r="10" spans="2:17" s="5" customFormat="1" ht="22.2" customHeight="1">
      <c r="B10" s="57">
        <v>2</v>
      </c>
      <c r="C10" s="19" t="s">
        <v>25</v>
      </c>
      <c r="D10" s="8" t="s">
        <v>26</v>
      </c>
      <c r="E10" s="9" t="s">
        <v>27</v>
      </c>
      <c r="F10" s="10">
        <f>G10-G12</f>
        <v>23894.235000000001</v>
      </c>
      <c r="G10" s="11">
        <f t="shared" si="0"/>
        <v>24394.235000000001</v>
      </c>
      <c r="H10" s="35">
        <f>H11+H12</f>
        <v>13511.235000000001</v>
      </c>
      <c r="I10" s="22">
        <f t="shared" si="1"/>
        <v>15894.235000000001</v>
      </c>
      <c r="J10" s="11">
        <f t="shared" si="2"/>
        <v>8500</v>
      </c>
      <c r="K10" s="11">
        <f t="shared" ref="K10:Q10" si="4">SUM(K11:K12)</f>
        <v>2383</v>
      </c>
      <c r="L10" s="11">
        <f t="shared" si="4"/>
        <v>3300</v>
      </c>
      <c r="M10" s="11">
        <f t="shared" si="4"/>
        <v>1940</v>
      </c>
      <c r="N10" s="11">
        <f t="shared" si="4"/>
        <v>2060</v>
      </c>
      <c r="O10" s="11">
        <f t="shared" si="4"/>
        <v>600</v>
      </c>
      <c r="P10" s="11">
        <f t="shared" si="4"/>
        <v>600</v>
      </c>
      <c r="Q10" s="11">
        <f t="shared" si="4"/>
        <v>0</v>
      </c>
    </row>
    <row r="11" spans="2:17" s="5" customFormat="1" ht="10.199999999999999">
      <c r="B11" s="58"/>
      <c r="C11" s="13" t="s">
        <v>23</v>
      </c>
      <c r="D11" s="14"/>
      <c r="E11" s="15"/>
      <c r="F11" s="16"/>
      <c r="G11" s="17">
        <f t="shared" si="0"/>
        <v>23894.235000000001</v>
      </c>
      <c r="H11" s="18">
        <v>13011.235000000001</v>
      </c>
      <c r="I11" s="17">
        <f t="shared" si="1"/>
        <v>15394.235000000001</v>
      </c>
      <c r="J11" s="17">
        <f t="shared" si="2"/>
        <v>8500</v>
      </c>
      <c r="K11" s="17">
        <v>2383</v>
      </c>
      <c r="L11" s="17">
        <f>3879-579</f>
        <v>3300</v>
      </c>
      <c r="M11" s="17">
        <v>1940</v>
      </c>
      <c r="N11" s="17">
        <v>2060</v>
      </c>
      <c r="O11" s="17">
        <v>600</v>
      </c>
      <c r="P11" s="17">
        <v>600</v>
      </c>
      <c r="Q11" s="17">
        <v>0</v>
      </c>
    </row>
    <row r="12" spans="2:17" s="5" customFormat="1" ht="12" customHeight="1">
      <c r="B12" s="58"/>
      <c r="C12" s="13" t="s">
        <v>28</v>
      </c>
      <c r="D12" s="14"/>
      <c r="E12" s="15"/>
      <c r="F12" s="16"/>
      <c r="G12" s="17">
        <f t="shared" si="0"/>
        <v>500</v>
      </c>
      <c r="H12" s="18">
        <v>500</v>
      </c>
      <c r="I12" s="17">
        <f t="shared" si="1"/>
        <v>500</v>
      </c>
      <c r="J12" s="17">
        <f t="shared" si="2"/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f>SUM(O12:O12)</f>
        <v>0</v>
      </c>
    </row>
    <row r="13" spans="2:17" s="5" customFormat="1" ht="22.2" customHeight="1">
      <c r="B13" s="57">
        <v>3</v>
      </c>
      <c r="C13" s="20" t="s">
        <v>29</v>
      </c>
      <c r="D13" s="8" t="s">
        <v>216</v>
      </c>
      <c r="E13" s="9" t="s">
        <v>30</v>
      </c>
      <c r="F13" s="10">
        <f>G14+G15</f>
        <v>125987.272</v>
      </c>
      <c r="G13" s="11">
        <f t="shared" si="0"/>
        <v>129546.272</v>
      </c>
      <c r="H13" s="35">
        <f>H14+H15</f>
        <v>10035.272000000001</v>
      </c>
      <c r="I13" s="22">
        <f t="shared" si="1"/>
        <v>13016.748000000001</v>
      </c>
      <c r="J13" s="11">
        <f t="shared" si="2"/>
        <v>106729.524</v>
      </c>
      <c r="K13" s="11">
        <f t="shared" ref="K13" si="5">SUM(K14:K15)</f>
        <v>2981.4760000000001</v>
      </c>
      <c r="L13" s="11">
        <f t="shared" ref="L13:Q13" si="6">SUM(L14:L16)</f>
        <v>19690.523999999998</v>
      </c>
      <c r="M13" s="11">
        <f t="shared" si="6"/>
        <v>22292</v>
      </c>
      <c r="N13" s="11">
        <f t="shared" si="6"/>
        <v>18981</v>
      </c>
      <c r="O13" s="11">
        <f t="shared" si="6"/>
        <v>23105</v>
      </c>
      <c r="P13" s="11">
        <f t="shared" si="6"/>
        <v>22661</v>
      </c>
      <c r="Q13" s="11">
        <f t="shared" si="6"/>
        <v>9800</v>
      </c>
    </row>
    <row r="14" spans="2:17" s="5" customFormat="1" ht="12" customHeight="1">
      <c r="B14" s="58"/>
      <c r="C14" s="13" t="s">
        <v>23</v>
      </c>
      <c r="D14" s="14"/>
      <c r="E14" s="15"/>
      <c r="F14" s="16"/>
      <c r="G14" s="17">
        <f t="shared" si="0"/>
        <v>104621.272</v>
      </c>
      <c r="H14" s="18">
        <v>10035.272000000001</v>
      </c>
      <c r="I14" s="17">
        <f t="shared" si="1"/>
        <v>13016.748000000001</v>
      </c>
      <c r="J14" s="17">
        <f t="shared" si="2"/>
        <v>81804.524000000005</v>
      </c>
      <c r="K14" s="17">
        <v>2981.4760000000001</v>
      </c>
      <c r="L14" s="17">
        <v>14668.523999999999</v>
      </c>
      <c r="M14" s="17">
        <v>15699</v>
      </c>
      <c r="N14" s="17">
        <v>16941</v>
      </c>
      <c r="O14" s="17">
        <v>17855</v>
      </c>
      <c r="P14" s="17">
        <v>16641</v>
      </c>
      <c r="Q14" s="17">
        <v>9800</v>
      </c>
    </row>
    <row r="15" spans="2:17" s="5" customFormat="1" ht="12" customHeight="1">
      <c r="B15" s="58"/>
      <c r="C15" s="13" t="s">
        <v>36</v>
      </c>
      <c r="D15" s="14"/>
      <c r="E15" s="15"/>
      <c r="F15" s="16"/>
      <c r="G15" s="17">
        <f t="shared" si="0"/>
        <v>21366</v>
      </c>
      <c r="H15" s="18">
        <v>0</v>
      </c>
      <c r="I15" s="17">
        <f t="shared" si="1"/>
        <v>0</v>
      </c>
      <c r="J15" s="17">
        <f t="shared" si="2"/>
        <v>21366</v>
      </c>
      <c r="K15" s="17">
        <v>0</v>
      </c>
      <c r="L15" s="17">
        <v>1463</v>
      </c>
      <c r="M15" s="17">
        <v>6593</v>
      </c>
      <c r="N15" s="17">
        <v>2040</v>
      </c>
      <c r="O15" s="17">
        <v>5250</v>
      </c>
      <c r="P15" s="17">
        <v>6020</v>
      </c>
      <c r="Q15" s="17">
        <v>0</v>
      </c>
    </row>
    <row r="16" spans="2:17" s="5" customFormat="1" ht="12" customHeight="1">
      <c r="B16" s="58"/>
      <c r="C16" s="33" t="s">
        <v>24</v>
      </c>
      <c r="D16" s="14"/>
      <c r="E16" s="15"/>
      <c r="F16" s="16"/>
      <c r="G16" s="17">
        <f t="shared" si="0"/>
        <v>3559</v>
      </c>
      <c r="H16" s="18">
        <v>0</v>
      </c>
      <c r="I16" s="17">
        <v>0</v>
      </c>
      <c r="J16" s="17">
        <f>SUM(L16:P16)</f>
        <v>3559</v>
      </c>
      <c r="K16" s="17">
        <v>0</v>
      </c>
      <c r="L16" s="17">
        <f>3359+200</f>
        <v>3559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</row>
    <row r="17" spans="2:17" s="5" customFormat="1" ht="23.4" customHeight="1">
      <c r="B17" s="57">
        <v>4</v>
      </c>
      <c r="C17" s="7" t="s">
        <v>31</v>
      </c>
      <c r="D17" s="8" t="s">
        <v>34</v>
      </c>
      <c r="E17" s="9" t="s">
        <v>32</v>
      </c>
      <c r="F17" s="10">
        <f>G17-G19</f>
        <v>38319.476999999999</v>
      </c>
      <c r="G17" s="11">
        <f t="shared" si="0"/>
        <v>43148.680999999997</v>
      </c>
      <c r="H17" s="35">
        <f>H18+H19</f>
        <v>18829.849000000002</v>
      </c>
      <c r="I17" s="22">
        <f t="shared" ref="I17:I48" si="7">H17+K17</f>
        <v>40983.199000000001</v>
      </c>
      <c r="J17" s="11">
        <f t="shared" si="2"/>
        <v>2165.482</v>
      </c>
      <c r="K17" s="11">
        <f t="shared" ref="K17:P17" si="8">SUM(K18:K19)</f>
        <v>22153.35</v>
      </c>
      <c r="L17" s="11">
        <f t="shared" si="8"/>
        <v>2165.482</v>
      </c>
      <c r="M17" s="11">
        <f t="shared" si="8"/>
        <v>0</v>
      </c>
      <c r="N17" s="11">
        <f t="shared" si="8"/>
        <v>0</v>
      </c>
      <c r="O17" s="11">
        <f t="shared" si="8"/>
        <v>0</v>
      </c>
      <c r="P17" s="11">
        <f t="shared" si="8"/>
        <v>0</v>
      </c>
      <c r="Q17" s="11">
        <f t="shared" ref="Q17:Q22" si="9">SUM(O17:O17)</f>
        <v>0</v>
      </c>
    </row>
    <row r="18" spans="2:17" s="5" customFormat="1" ht="12" customHeight="1">
      <c r="B18" s="58"/>
      <c r="C18" s="13" t="s">
        <v>23</v>
      </c>
      <c r="D18" s="14"/>
      <c r="E18" s="15"/>
      <c r="F18" s="16"/>
      <c r="G18" s="17">
        <f t="shared" si="0"/>
        <v>38319.476999999999</v>
      </c>
      <c r="H18" s="18">
        <v>14000.645</v>
      </c>
      <c r="I18" s="17">
        <f t="shared" si="7"/>
        <v>36153.994999999995</v>
      </c>
      <c r="J18" s="17">
        <f t="shared" si="2"/>
        <v>2165.482</v>
      </c>
      <c r="K18" s="17">
        <v>22153.35</v>
      </c>
      <c r="L18" s="17">
        <v>2165.482</v>
      </c>
      <c r="M18" s="17">
        <v>0</v>
      </c>
      <c r="N18" s="17">
        <v>0</v>
      </c>
      <c r="O18" s="17">
        <v>0</v>
      </c>
      <c r="P18" s="17">
        <v>0</v>
      </c>
      <c r="Q18" s="17">
        <f t="shared" si="9"/>
        <v>0</v>
      </c>
    </row>
    <row r="19" spans="2:17" s="5" customFormat="1" ht="12" customHeight="1">
      <c r="B19" s="58"/>
      <c r="C19" s="13" t="s">
        <v>24</v>
      </c>
      <c r="D19" s="14"/>
      <c r="E19" s="15"/>
      <c r="F19" s="16"/>
      <c r="G19" s="17">
        <f t="shared" si="0"/>
        <v>4829.2039999999997</v>
      </c>
      <c r="H19" s="18">
        <v>4829.2039999999997</v>
      </c>
      <c r="I19" s="17">
        <f t="shared" si="7"/>
        <v>4829.2039999999997</v>
      </c>
      <c r="J19" s="17">
        <f t="shared" si="2"/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 t="shared" si="9"/>
        <v>0</v>
      </c>
    </row>
    <row r="20" spans="2:17" s="5" customFormat="1" ht="22.2" customHeight="1">
      <c r="B20" s="57">
        <v>5</v>
      </c>
      <c r="C20" s="7" t="s">
        <v>33</v>
      </c>
      <c r="D20" s="8" t="s">
        <v>34</v>
      </c>
      <c r="E20" s="9" t="s">
        <v>35</v>
      </c>
      <c r="F20" s="10">
        <f>G20</f>
        <v>124695.92700000001</v>
      </c>
      <c r="G20" s="11">
        <f t="shared" si="0"/>
        <v>124695.92700000001</v>
      </c>
      <c r="H20" s="35">
        <f>H21+H22</f>
        <v>106905.58900000001</v>
      </c>
      <c r="I20" s="22">
        <f t="shared" si="7"/>
        <v>112953.06000000001</v>
      </c>
      <c r="J20" s="11">
        <f t="shared" si="2"/>
        <v>11742.867</v>
      </c>
      <c r="K20" s="11">
        <f t="shared" ref="K20:P20" si="10">SUM(K21:K22)</f>
        <v>6047.4709999999995</v>
      </c>
      <c r="L20" s="11">
        <f t="shared" si="10"/>
        <v>5152.8960000000006</v>
      </c>
      <c r="M20" s="11">
        <f t="shared" si="10"/>
        <v>6589.9709999999995</v>
      </c>
      <c r="N20" s="11">
        <f t="shared" si="10"/>
        <v>0</v>
      </c>
      <c r="O20" s="11">
        <f t="shared" si="10"/>
        <v>0</v>
      </c>
      <c r="P20" s="11">
        <f t="shared" si="10"/>
        <v>0</v>
      </c>
      <c r="Q20" s="11">
        <f t="shared" si="9"/>
        <v>0</v>
      </c>
    </row>
    <row r="21" spans="2:17" s="5" customFormat="1" ht="12" customHeight="1">
      <c r="B21" s="58"/>
      <c r="C21" s="13" t="s">
        <v>23</v>
      </c>
      <c r="D21" s="14"/>
      <c r="E21" s="15"/>
      <c r="F21" s="16"/>
      <c r="G21" s="17">
        <f t="shared" si="0"/>
        <v>108276.315</v>
      </c>
      <c r="H21" s="18">
        <v>90485.976999999999</v>
      </c>
      <c r="I21" s="17">
        <f t="shared" si="7"/>
        <v>96533.448000000004</v>
      </c>
      <c r="J21" s="17">
        <f t="shared" si="2"/>
        <v>11742.867</v>
      </c>
      <c r="K21" s="17">
        <v>6047.4709999999995</v>
      </c>
      <c r="L21" s="17">
        <f>7637.845-2484.949</f>
        <v>5152.8960000000006</v>
      </c>
      <c r="M21" s="17">
        <f>4105.022+2484.949</f>
        <v>6589.9709999999995</v>
      </c>
      <c r="N21" s="17">
        <v>0</v>
      </c>
      <c r="O21" s="17">
        <v>0</v>
      </c>
      <c r="P21" s="17">
        <v>0</v>
      </c>
      <c r="Q21" s="17">
        <f t="shared" si="9"/>
        <v>0</v>
      </c>
    </row>
    <row r="22" spans="2:17" s="5" customFormat="1" ht="12" customHeight="1">
      <c r="B22" s="58"/>
      <c r="C22" s="13" t="s">
        <v>36</v>
      </c>
      <c r="D22" s="14"/>
      <c r="E22" s="15"/>
      <c r="F22" s="16"/>
      <c r="G22" s="17">
        <f t="shared" si="0"/>
        <v>16419.612000000001</v>
      </c>
      <c r="H22" s="18">
        <v>16419.612000000001</v>
      </c>
      <c r="I22" s="17">
        <f t="shared" si="7"/>
        <v>16419.612000000001</v>
      </c>
      <c r="J22" s="17">
        <f t="shared" si="2"/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f t="shared" si="9"/>
        <v>0</v>
      </c>
    </row>
    <row r="23" spans="2:17" s="5" customFormat="1" ht="22.95" customHeight="1">
      <c r="B23" s="57">
        <v>6</v>
      </c>
      <c r="C23" s="7" t="s">
        <v>37</v>
      </c>
      <c r="D23" s="8" t="s">
        <v>222</v>
      </c>
      <c r="E23" s="9" t="s">
        <v>32</v>
      </c>
      <c r="F23" s="10">
        <f>G23-G26</f>
        <v>560409.40899999999</v>
      </c>
      <c r="G23" s="11">
        <f t="shared" si="0"/>
        <v>766994.99600000004</v>
      </c>
      <c r="H23" s="35">
        <f>H24+H26+H25</f>
        <v>747471.11899999995</v>
      </c>
      <c r="I23" s="22">
        <f t="shared" si="7"/>
        <v>765764.65699999989</v>
      </c>
      <c r="J23" s="11">
        <f t="shared" si="2"/>
        <v>1230.3389999999999</v>
      </c>
      <c r="K23" s="11">
        <f>SUM(K24:K26)</f>
        <v>18293.538</v>
      </c>
      <c r="L23" s="11">
        <f t="shared" ref="L23:Q23" si="11">SUM(L24:L26)</f>
        <v>1230.3389999999999</v>
      </c>
      <c r="M23" s="11">
        <f t="shared" si="11"/>
        <v>0</v>
      </c>
      <c r="N23" s="11">
        <f t="shared" si="11"/>
        <v>0</v>
      </c>
      <c r="O23" s="11">
        <f t="shared" si="11"/>
        <v>0</v>
      </c>
      <c r="P23" s="11">
        <f t="shared" si="11"/>
        <v>0</v>
      </c>
      <c r="Q23" s="11">
        <f t="shared" si="11"/>
        <v>0</v>
      </c>
    </row>
    <row r="24" spans="2:17" s="5" customFormat="1" ht="12" customHeight="1">
      <c r="B24" s="58"/>
      <c r="C24" s="13" t="s">
        <v>23</v>
      </c>
      <c r="D24" s="14"/>
      <c r="E24" s="15"/>
      <c r="F24" s="16"/>
      <c r="G24" s="17">
        <f t="shared" si="0"/>
        <v>190699.50600000002</v>
      </c>
      <c r="H24" s="18">
        <v>189160.96900000001</v>
      </c>
      <c r="I24" s="17">
        <f t="shared" si="7"/>
        <v>189469.16700000002</v>
      </c>
      <c r="J24" s="17">
        <f t="shared" si="2"/>
        <v>1230.3389999999999</v>
      </c>
      <c r="K24" s="17">
        <v>308.19799999999998</v>
      </c>
      <c r="L24" s="17">
        <v>1230.3389999999999</v>
      </c>
      <c r="M24" s="17">
        <v>0</v>
      </c>
      <c r="N24" s="17">
        <v>0</v>
      </c>
      <c r="O24" s="17">
        <v>0</v>
      </c>
      <c r="P24" s="17">
        <v>0</v>
      </c>
      <c r="Q24" s="17">
        <f t="shared" ref="Q24:Q29" si="12">SUM(O24:O24)</f>
        <v>0</v>
      </c>
    </row>
    <row r="25" spans="2:17" s="5" customFormat="1" ht="12" customHeight="1">
      <c r="B25" s="58"/>
      <c r="C25" s="13" t="s">
        <v>36</v>
      </c>
      <c r="D25" s="14"/>
      <c r="E25" s="15"/>
      <c r="F25" s="16"/>
      <c r="G25" s="17">
        <f t="shared" si="0"/>
        <v>369709.90300000005</v>
      </c>
      <c r="H25" s="18">
        <v>351724.56300000002</v>
      </c>
      <c r="I25" s="17">
        <f t="shared" si="7"/>
        <v>369709.90300000005</v>
      </c>
      <c r="J25" s="17">
        <f t="shared" si="2"/>
        <v>0</v>
      </c>
      <c r="K25" s="17">
        <v>17985.34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f t="shared" si="12"/>
        <v>0</v>
      </c>
    </row>
    <row r="26" spans="2:17" s="5" customFormat="1" ht="12" customHeight="1">
      <c r="B26" s="58"/>
      <c r="C26" s="13" t="s">
        <v>38</v>
      </c>
      <c r="D26" s="14"/>
      <c r="E26" s="15"/>
      <c r="F26" s="16"/>
      <c r="G26" s="17">
        <f t="shared" si="0"/>
        <v>206585.587</v>
      </c>
      <c r="H26" s="18">
        <v>206585.587</v>
      </c>
      <c r="I26" s="17">
        <f t="shared" si="7"/>
        <v>206585.587</v>
      </c>
      <c r="J26" s="17">
        <f t="shared" ref="J26:J38" si="13">SUM(L26:P26)</f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f t="shared" si="12"/>
        <v>0</v>
      </c>
    </row>
    <row r="27" spans="2:17" s="5" customFormat="1" ht="22.2" customHeight="1">
      <c r="B27" s="57">
        <v>7</v>
      </c>
      <c r="C27" s="20" t="s">
        <v>54</v>
      </c>
      <c r="D27" s="27" t="s">
        <v>51</v>
      </c>
      <c r="E27" s="9" t="s">
        <v>35</v>
      </c>
      <c r="F27" s="10">
        <f>G27-G29</f>
        <v>33665.574000000001</v>
      </c>
      <c r="G27" s="11">
        <f t="shared" si="0"/>
        <v>45765.574000000001</v>
      </c>
      <c r="H27" s="35">
        <f>H28+H29</f>
        <v>41450.072</v>
      </c>
      <c r="I27" s="22">
        <f t="shared" si="7"/>
        <v>43282.184000000001</v>
      </c>
      <c r="J27" s="11">
        <f t="shared" si="13"/>
        <v>2483.39</v>
      </c>
      <c r="K27" s="11">
        <f t="shared" ref="K27:P27" si="14">SUM(K28:K29)</f>
        <v>1832.1120000000001</v>
      </c>
      <c r="L27" s="11">
        <f t="shared" si="14"/>
        <v>1483.3899999999999</v>
      </c>
      <c r="M27" s="11">
        <f t="shared" si="14"/>
        <v>1000</v>
      </c>
      <c r="N27" s="11">
        <f t="shared" si="14"/>
        <v>0</v>
      </c>
      <c r="O27" s="11">
        <f t="shared" si="14"/>
        <v>0</v>
      </c>
      <c r="P27" s="11">
        <f t="shared" si="14"/>
        <v>0</v>
      </c>
      <c r="Q27" s="11">
        <f t="shared" si="12"/>
        <v>0</v>
      </c>
    </row>
    <row r="28" spans="2:17" s="5" customFormat="1" ht="12" customHeight="1">
      <c r="B28" s="58"/>
      <c r="C28" s="13" t="s">
        <v>23</v>
      </c>
      <c r="D28" s="15"/>
      <c r="E28" s="15"/>
      <c r="F28" s="16"/>
      <c r="G28" s="17">
        <f t="shared" si="0"/>
        <v>33665.574000000001</v>
      </c>
      <c r="H28" s="17">
        <v>29350.072</v>
      </c>
      <c r="I28" s="17">
        <f t="shared" si="7"/>
        <v>31182.184000000001</v>
      </c>
      <c r="J28" s="17">
        <f t="shared" si="13"/>
        <v>2483.39</v>
      </c>
      <c r="K28" s="17">
        <v>1832.1120000000001</v>
      </c>
      <c r="L28" s="17">
        <f>2483.39-1000</f>
        <v>1483.3899999999999</v>
      </c>
      <c r="M28" s="17">
        <v>1000</v>
      </c>
      <c r="N28" s="17">
        <v>0</v>
      </c>
      <c r="O28" s="17">
        <v>0</v>
      </c>
      <c r="P28" s="17">
        <v>0</v>
      </c>
      <c r="Q28" s="17">
        <f t="shared" si="12"/>
        <v>0</v>
      </c>
    </row>
    <row r="29" spans="2:17" s="5" customFormat="1" ht="12" customHeight="1">
      <c r="B29" s="58"/>
      <c r="C29" s="13" t="s">
        <v>270</v>
      </c>
      <c r="D29" s="14"/>
      <c r="E29" s="15"/>
      <c r="F29" s="16"/>
      <c r="G29" s="17">
        <f t="shared" si="0"/>
        <v>12100</v>
      </c>
      <c r="H29" s="18">
        <v>12100</v>
      </c>
      <c r="I29" s="17">
        <f t="shared" si="7"/>
        <v>12100</v>
      </c>
      <c r="J29" s="17">
        <f t="shared" si="13"/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f t="shared" si="12"/>
        <v>0</v>
      </c>
    </row>
    <row r="30" spans="2:17" s="5" customFormat="1" ht="23.4" customHeight="1">
      <c r="B30" s="57">
        <v>8</v>
      </c>
      <c r="C30" s="20" t="s">
        <v>55</v>
      </c>
      <c r="D30" s="27" t="s">
        <v>51</v>
      </c>
      <c r="E30" s="9" t="s">
        <v>56</v>
      </c>
      <c r="F30" s="10">
        <f>G30</f>
        <v>79062.72600000001</v>
      </c>
      <c r="G30" s="11">
        <f t="shared" si="0"/>
        <v>79062.72600000001</v>
      </c>
      <c r="H30" s="35">
        <f>H31+H32</f>
        <v>3384.7449999999999</v>
      </c>
      <c r="I30" s="22">
        <f t="shared" si="7"/>
        <v>3386.152</v>
      </c>
      <c r="J30" s="11">
        <f t="shared" si="13"/>
        <v>75676.574000000008</v>
      </c>
      <c r="K30" s="11">
        <f t="shared" ref="K30:O30" si="15">SUM(K31:K32)</f>
        <v>1.407</v>
      </c>
      <c r="L30" s="11">
        <f t="shared" si="15"/>
        <v>844.01400000000001</v>
      </c>
      <c r="M30" s="11">
        <f t="shared" si="15"/>
        <v>8907.2240000000002</v>
      </c>
      <c r="N30" s="11">
        <f t="shared" si="15"/>
        <v>32962.668000000005</v>
      </c>
      <c r="O30" s="11">
        <f t="shared" si="15"/>
        <v>32962.668000000005</v>
      </c>
      <c r="P30" s="11">
        <f>SUM(P31:P31)</f>
        <v>0</v>
      </c>
      <c r="Q30" s="11">
        <f>SUM(Q31:Q31)</f>
        <v>0</v>
      </c>
    </row>
    <row r="31" spans="2:17" s="5" customFormat="1" ht="12" customHeight="1">
      <c r="B31" s="58"/>
      <c r="C31" s="13" t="s">
        <v>23</v>
      </c>
      <c r="D31" s="15"/>
      <c r="E31" s="15"/>
      <c r="F31" s="16"/>
      <c r="G31" s="17">
        <f t="shared" si="0"/>
        <v>28058.628999999997</v>
      </c>
      <c r="H31" s="17">
        <v>3384.7449999999999</v>
      </c>
      <c r="I31" s="17">
        <f t="shared" si="7"/>
        <v>3386.152</v>
      </c>
      <c r="J31" s="17">
        <f t="shared" si="13"/>
        <v>24672.476999999999</v>
      </c>
      <c r="K31" s="17">
        <v>1.407</v>
      </c>
      <c r="L31" s="17">
        <v>636.69600000000003</v>
      </c>
      <c r="M31" s="17">
        <v>3668.6030000000001</v>
      </c>
      <c r="N31" s="17">
        <v>10183.589</v>
      </c>
      <c r="O31" s="17">
        <v>10183.589</v>
      </c>
      <c r="P31" s="17">
        <v>0</v>
      </c>
      <c r="Q31" s="17">
        <v>0</v>
      </c>
    </row>
    <row r="32" spans="2:17" s="5" customFormat="1" ht="12" customHeight="1">
      <c r="B32" s="58"/>
      <c r="C32" s="13" t="s">
        <v>36</v>
      </c>
      <c r="D32" s="15"/>
      <c r="E32" s="15"/>
      <c r="F32" s="16"/>
      <c r="G32" s="17">
        <f t="shared" si="0"/>
        <v>51004.097000000009</v>
      </c>
      <c r="H32" s="17">
        <v>0</v>
      </c>
      <c r="I32" s="17">
        <f t="shared" si="7"/>
        <v>0</v>
      </c>
      <c r="J32" s="17">
        <f t="shared" si="13"/>
        <v>51004.097000000009</v>
      </c>
      <c r="K32" s="17">
        <v>0</v>
      </c>
      <c r="L32" s="17">
        <v>207.31800000000001</v>
      </c>
      <c r="M32" s="17">
        <v>5238.6210000000001</v>
      </c>
      <c r="N32" s="17">
        <v>22779.079000000002</v>
      </c>
      <c r="O32" s="17">
        <v>22779.079000000002</v>
      </c>
      <c r="P32" s="17">
        <v>0</v>
      </c>
      <c r="Q32" s="17"/>
    </row>
    <row r="33" spans="2:238" s="5" customFormat="1" ht="24.6" customHeight="1">
      <c r="B33" s="57">
        <v>9</v>
      </c>
      <c r="C33" s="20" t="s">
        <v>52</v>
      </c>
      <c r="D33" s="27" t="s">
        <v>51</v>
      </c>
      <c r="E33" s="9" t="s">
        <v>53</v>
      </c>
      <c r="F33" s="10">
        <f>G33-G35</f>
        <v>16913.187999999998</v>
      </c>
      <c r="G33" s="11">
        <f t="shared" si="0"/>
        <v>17918.188999999998</v>
      </c>
      <c r="H33" s="35">
        <f>H34+H35</f>
        <v>9228.3989999999994</v>
      </c>
      <c r="I33" s="22">
        <f t="shared" si="7"/>
        <v>10852.898999999999</v>
      </c>
      <c r="J33" s="11">
        <f t="shared" si="13"/>
        <v>5104.71</v>
      </c>
      <c r="K33" s="11">
        <f t="shared" ref="K33:Q33" si="16">SUM(K34:K35)</f>
        <v>1624.5</v>
      </c>
      <c r="L33" s="11">
        <f t="shared" si="16"/>
        <v>1701.7739999999999</v>
      </c>
      <c r="M33" s="11">
        <f t="shared" si="16"/>
        <v>1300.7339999999999</v>
      </c>
      <c r="N33" s="11">
        <f t="shared" si="16"/>
        <v>700.73400000000004</v>
      </c>
      <c r="O33" s="11">
        <f t="shared" si="16"/>
        <v>700.73400000000004</v>
      </c>
      <c r="P33" s="11">
        <f t="shared" si="16"/>
        <v>700.73400000000004</v>
      </c>
      <c r="Q33" s="11">
        <f t="shared" si="16"/>
        <v>1960.58</v>
      </c>
    </row>
    <row r="34" spans="2:238" s="5" customFormat="1" ht="12.6" customHeight="1">
      <c r="B34" s="58"/>
      <c r="C34" s="13" t="s">
        <v>23</v>
      </c>
      <c r="D34" s="14"/>
      <c r="E34" s="15"/>
      <c r="F34" s="16"/>
      <c r="G34" s="17">
        <f t="shared" si="0"/>
        <v>16913.188000000002</v>
      </c>
      <c r="H34" s="18">
        <v>8223.3979999999992</v>
      </c>
      <c r="I34" s="17">
        <f t="shared" si="7"/>
        <v>9847.8979999999992</v>
      </c>
      <c r="J34" s="17">
        <f t="shared" si="13"/>
        <v>5104.71</v>
      </c>
      <c r="K34" s="17">
        <v>1624.5</v>
      </c>
      <c r="L34" s="17">
        <f>2301.774-600</f>
        <v>1701.7739999999999</v>
      </c>
      <c r="M34" s="17">
        <f>700.734+600</f>
        <v>1300.7339999999999</v>
      </c>
      <c r="N34" s="17">
        <v>700.73400000000004</v>
      </c>
      <c r="O34" s="17">
        <v>700.73400000000004</v>
      </c>
      <c r="P34" s="17">
        <v>700.73400000000004</v>
      </c>
      <c r="Q34" s="17">
        <v>1960.58</v>
      </c>
    </row>
    <row r="35" spans="2:238" s="5" customFormat="1" ht="12.6" customHeight="1">
      <c r="B35" s="58"/>
      <c r="C35" s="13" t="s">
        <v>24</v>
      </c>
      <c r="D35" s="14"/>
      <c r="E35" s="15"/>
      <c r="F35" s="16"/>
      <c r="G35" s="17">
        <f t="shared" si="0"/>
        <v>1005.001</v>
      </c>
      <c r="H35" s="18">
        <v>1005.001</v>
      </c>
      <c r="I35" s="17">
        <f t="shared" si="7"/>
        <v>1005.001</v>
      </c>
      <c r="J35" s="17">
        <f t="shared" si="13"/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f>SUM(O35:O35)</f>
        <v>0</v>
      </c>
    </row>
    <row r="36" spans="2:238" s="5" customFormat="1" ht="22.2" customHeight="1">
      <c r="B36" s="57">
        <v>10</v>
      </c>
      <c r="C36" s="20" t="s">
        <v>57</v>
      </c>
      <c r="D36" s="8" t="s">
        <v>218</v>
      </c>
      <c r="E36" s="9" t="s">
        <v>58</v>
      </c>
      <c r="F36" s="10">
        <f>G36</f>
        <v>89693.82</v>
      </c>
      <c r="G36" s="11">
        <f t="shared" si="0"/>
        <v>89693.82</v>
      </c>
      <c r="H36" s="35">
        <f>H37+H38</f>
        <v>2032.779</v>
      </c>
      <c r="I36" s="22">
        <f t="shared" si="7"/>
        <v>29572.107</v>
      </c>
      <c r="J36" s="11">
        <f t="shared" si="13"/>
        <v>60121.713000000003</v>
      </c>
      <c r="K36" s="11">
        <f t="shared" ref="K36:P36" si="17">SUM(K37:K38)</f>
        <v>27539.328000000001</v>
      </c>
      <c r="L36" s="11">
        <f t="shared" si="17"/>
        <v>60121.713000000003</v>
      </c>
      <c r="M36" s="11">
        <f t="shared" si="17"/>
        <v>0</v>
      </c>
      <c r="N36" s="11">
        <f t="shared" si="17"/>
        <v>0</v>
      </c>
      <c r="O36" s="11">
        <f t="shared" si="17"/>
        <v>0</v>
      </c>
      <c r="P36" s="11">
        <f t="shared" si="17"/>
        <v>0</v>
      </c>
      <c r="Q36" s="11">
        <f>SUM(O36:O36)</f>
        <v>0</v>
      </c>
    </row>
    <row r="37" spans="2:238" s="5" customFormat="1" ht="12.6" customHeight="1">
      <c r="B37" s="58"/>
      <c r="C37" s="13" t="s">
        <v>23</v>
      </c>
      <c r="D37" s="15"/>
      <c r="E37" s="15"/>
      <c r="F37" s="16"/>
      <c r="G37" s="17">
        <f t="shared" si="0"/>
        <v>16579.766</v>
      </c>
      <c r="H37" s="17">
        <v>1339.3050000000001</v>
      </c>
      <c r="I37" s="17">
        <f t="shared" si="7"/>
        <v>6172.9720000000007</v>
      </c>
      <c r="J37" s="17">
        <f t="shared" si="13"/>
        <v>10406.794</v>
      </c>
      <c r="K37" s="31">
        <v>4833.6670000000004</v>
      </c>
      <c r="L37" s="17">
        <v>10406.794</v>
      </c>
      <c r="M37" s="17">
        <v>0</v>
      </c>
      <c r="N37" s="17">
        <v>0</v>
      </c>
      <c r="O37" s="17">
        <v>0</v>
      </c>
      <c r="P37" s="17">
        <v>0</v>
      </c>
      <c r="Q37" s="17">
        <f>SUM(O37:O37)</f>
        <v>0</v>
      </c>
    </row>
    <row r="38" spans="2:238" s="5" customFormat="1" ht="12.6" customHeight="1">
      <c r="B38" s="58"/>
      <c r="C38" s="13" t="s">
        <v>36</v>
      </c>
      <c r="D38" s="15"/>
      <c r="E38" s="15"/>
      <c r="F38" s="16"/>
      <c r="G38" s="17">
        <f t="shared" si="0"/>
        <v>73114.054000000004</v>
      </c>
      <c r="H38" s="17">
        <v>693.47400000000005</v>
      </c>
      <c r="I38" s="17">
        <f t="shared" si="7"/>
        <v>23399.134999999998</v>
      </c>
      <c r="J38" s="17">
        <f t="shared" si="13"/>
        <v>49714.919000000002</v>
      </c>
      <c r="K38" s="31">
        <v>22705.661</v>
      </c>
      <c r="L38" s="17">
        <v>49714.919000000002</v>
      </c>
      <c r="M38" s="17">
        <v>0</v>
      </c>
      <c r="N38" s="17">
        <v>0</v>
      </c>
      <c r="O38" s="17">
        <v>0</v>
      </c>
      <c r="P38" s="17">
        <v>0</v>
      </c>
      <c r="Q38" s="17">
        <f>SUM(O38:O38)</f>
        <v>0</v>
      </c>
    </row>
    <row r="39" spans="2:238" s="4" customFormat="1" ht="23.4" customHeight="1">
      <c r="B39" s="57">
        <v>11</v>
      </c>
      <c r="C39" s="20" t="s">
        <v>59</v>
      </c>
      <c r="D39" s="8" t="s">
        <v>60</v>
      </c>
      <c r="E39" s="9" t="s">
        <v>61</v>
      </c>
      <c r="F39" s="10">
        <f>G40</f>
        <v>50295.988999999994</v>
      </c>
      <c r="G39" s="11">
        <f t="shared" ref="G39:G70" si="18">H39+J39+K39+Q39</f>
        <v>51295.988999999994</v>
      </c>
      <c r="H39" s="35">
        <f>H40+H41</f>
        <v>7549.6989999999996</v>
      </c>
      <c r="I39" s="22">
        <f t="shared" si="7"/>
        <v>10649.699000000001</v>
      </c>
      <c r="J39" s="11">
        <f t="shared" ref="J39:J56" si="19">SUM(L39:P39)</f>
        <v>38587.761999999995</v>
      </c>
      <c r="K39" s="11">
        <f t="shared" ref="K39:Q39" si="20">SUM(K40:K41)</f>
        <v>3100</v>
      </c>
      <c r="L39" s="46">
        <f t="shared" si="20"/>
        <v>14753.65</v>
      </c>
      <c r="M39" s="11">
        <f t="shared" si="20"/>
        <v>10658.528</v>
      </c>
      <c r="N39" s="11">
        <f t="shared" si="20"/>
        <v>9058.5280000000002</v>
      </c>
      <c r="O39" s="11">
        <f t="shared" si="20"/>
        <v>2058.5279999999998</v>
      </c>
      <c r="P39" s="11">
        <f t="shared" si="20"/>
        <v>2058.5279999999998</v>
      </c>
      <c r="Q39" s="11">
        <f t="shared" si="20"/>
        <v>2058.5279999999998</v>
      </c>
    </row>
    <row r="40" spans="2:238" s="4" customFormat="1" ht="12.6" customHeight="1">
      <c r="B40" s="58"/>
      <c r="C40" s="13" t="s">
        <v>23</v>
      </c>
      <c r="D40" s="14"/>
      <c r="E40" s="15"/>
      <c r="F40" s="16"/>
      <c r="G40" s="17">
        <f t="shared" si="18"/>
        <v>50295.988999999994</v>
      </c>
      <c r="H40" s="18">
        <v>7549.6989999999996</v>
      </c>
      <c r="I40" s="17">
        <f t="shared" si="7"/>
        <v>9649.6990000000005</v>
      </c>
      <c r="J40" s="17">
        <f t="shared" si="19"/>
        <v>38587.761999999995</v>
      </c>
      <c r="K40" s="18">
        <v>2100</v>
      </c>
      <c r="L40" s="18">
        <v>14753.65</v>
      </c>
      <c r="M40" s="18">
        <f>7558.528+2100+1000</f>
        <v>10658.528</v>
      </c>
      <c r="N40" s="18">
        <v>9058.5280000000002</v>
      </c>
      <c r="O40" s="18">
        <v>2058.5279999999998</v>
      </c>
      <c r="P40" s="18">
        <v>2058.5279999999998</v>
      </c>
      <c r="Q40" s="17">
        <v>2058.5279999999998</v>
      </c>
    </row>
    <row r="41" spans="2:238" s="4" customFormat="1" ht="12.6" customHeight="1">
      <c r="B41" s="58"/>
      <c r="C41" s="13" t="s">
        <v>24</v>
      </c>
      <c r="D41" s="14"/>
      <c r="E41" s="15"/>
      <c r="F41" s="16"/>
      <c r="G41" s="17">
        <f t="shared" si="18"/>
        <v>1000</v>
      </c>
      <c r="H41" s="18">
        <v>0</v>
      </c>
      <c r="I41" s="17">
        <f t="shared" si="7"/>
        <v>1000</v>
      </c>
      <c r="J41" s="17">
        <f t="shared" si="19"/>
        <v>0</v>
      </c>
      <c r="K41" s="18">
        <v>1000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7">
        <f>SUM(O41:O41)</f>
        <v>0</v>
      </c>
    </row>
    <row r="42" spans="2:238" s="1" customFormat="1" ht="23.4" customHeight="1">
      <c r="B42" s="57">
        <v>12</v>
      </c>
      <c r="C42" s="20" t="s">
        <v>62</v>
      </c>
      <c r="D42" s="8" t="s">
        <v>34</v>
      </c>
      <c r="E42" s="9" t="s">
        <v>61</v>
      </c>
      <c r="F42" s="10">
        <f>G42-G44</f>
        <v>4883.0470000000005</v>
      </c>
      <c r="G42" s="11">
        <f t="shared" si="18"/>
        <v>7727.9760000000006</v>
      </c>
      <c r="H42" s="56">
        <f>H43+H44</f>
        <v>651.79700000000003</v>
      </c>
      <c r="I42" s="22">
        <f t="shared" si="7"/>
        <v>1079.797</v>
      </c>
      <c r="J42" s="11">
        <f t="shared" si="19"/>
        <v>6648.1790000000001</v>
      </c>
      <c r="K42" s="11">
        <f t="shared" ref="K42:Q42" si="21">SUM(K43:K44)</f>
        <v>428</v>
      </c>
      <c r="L42" s="11">
        <f t="shared" si="21"/>
        <v>6648.1790000000001</v>
      </c>
      <c r="M42" s="11">
        <f t="shared" si="21"/>
        <v>0</v>
      </c>
      <c r="N42" s="11">
        <f t="shared" si="21"/>
        <v>0</v>
      </c>
      <c r="O42" s="11">
        <f t="shared" si="21"/>
        <v>0</v>
      </c>
      <c r="P42" s="11">
        <f t="shared" si="21"/>
        <v>0</v>
      </c>
      <c r="Q42" s="11">
        <f t="shared" si="21"/>
        <v>0</v>
      </c>
    </row>
    <row r="43" spans="2:238" s="1" customFormat="1" ht="12.6" customHeight="1">
      <c r="B43" s="58"/>
      <c r="C43" s="13" t="s">
        <v>23</v>
      </c>
      <c r="D43" s="14"/>
      <c r="E43" s="15"/>
      <c r="F43" s="16"/>
      <c r="G43" s="17">
        <f t="shared" si="18"/>
        <v>4883.0470000000005</v>
      </c>
      <c r="H43" s="18">
        <v>651.79700000000003</v>
      </c>
      <c r="I43" s="17">
        <f t="shared" si="7"/>
        <v>1079.797</v>
      </c>
      <c r="J43" s="17">
        <f t="shared" si="19"/>
        <v>3803.25</v>
      </c>
      <c r="K43" s="17">
        <v>428</v>
      </c>
      <c r="L43" s="17">
        <v>3803.25</v>
      </c>
      <c r="M43" s="17">
        <v>0</v>
      </c>
      <c r="N43" s="17">
        <v>0</v>
      </c>
      <c r="O43" s="17">
        <v>0</v>
      </c>
      <c r="P43" s="17">
        <v>0</v>
      </c>
      <c r="Q43" s="17">
        <f>SUM(O43:O43)</f>
        <v>0</v>
      </c>
    </row>
    <row r="44" spans="2:238" s="1" customFormat="1" ht="12.6" customHeight="1">
      <c r="B44" s="58"/>
      <c r="C44" s="13" t="s">
        <v>24</v>
      </c>
      <c r="D44" s="14"/>
      <c r="E44" s="15"/>
      <c r="F44" s="16"/>
      <c r="G44" s="17">
        <f t="shared" si="18"/>
        <v>2844.9290000000001</v>
      </c>
      <c r="H44" s="18">
        <v>0</v>
      </c>
      <c r="I44" s="17">
        <f t="shared" si="7"/>
        <v>0</v>
      </c>
      <c r="J44" s="17">
        <f t="shared" si="19"/>
        <v>2844.9290000000001</v>
      </c>
      <c r="K44" s="17">
        <v>0</v>
      </c>
      <c r="L44" s="17">
        <v>2844.9290000000001</v>
      </c>
      <c r="M44" s="17">
        <v>0</v>
      </c>
      <c r="N44" s="17">
        <v>0</v>
      </c>
      <c r="O44" s="17">
        <v>0</v>
      </c>
      <c r="P44" s="17">
        <v>0</v>
      </c>
      <c r="Q44" s="17">
        <f>SUM(O44:O44)</f>
        <v>0</v>
      </c>
    </row>
    <row r="45" spans="2:238" s="5" customFormat="1" ht="24.6" customHeight="1">
      <c r="B45" s="57">
        <v>13</v>
      </c>
      <c r="C45" s="7" t="s">
        <v>50</v>
      </c>
      <c r="D45" s="27" t="s">
        <v>51</v>
      </c>
      <c r="E45" s="9" t="s">
        <v>63</v>
      </c>
      <c r="F45" s="10">
        <f>G45</f>
        <v>252842.19</v>
      </c>
      <c r="G45" s="11">
        <f t="shared" si="18"/>
        <v>252842.19</v>
      </c>
      <c r="H45" s="35">
        <f>H46</f>
        <v>13491.543</v>
      </c>
      <c r="I45" s="22">
        <f t="shared" si="7"/>
        <v>19671.785</v>
      </c>
      <c r="J45" s="11">
        <f t="shared" si="19"/>
        <v>41470.404999999999</v>
      </c>
      <c r="K45" s="11">
        <f t="shared" ref="K45:Q45" si="22">SUM(K46:K46)</f>
        <v>6180.2420000000002</v>
      </c>
      <c r="L45" s="11">
        <f t="shared" si="22"/>
        <v>5326.23</v>
      </c>
      <c r="M45" s="11">
        <f t="shared" si="22"/>
        <v>14794.174999999999</v>
      </c>
      <c r="N45" s="11">
        <f t="shared" si="22"/>
        <v>50</v>
      </c>
      <c r="O45" s="11">
        <f t="shared" si="22"/>
        <v>0</v>
      </c>
      <c r="P45" s="11">
        <f t="shared" si="22"/>
        <v>21300</v>
      </c>
      <c r="Q45" s="11">
        <f t="shared" si="22"/>
        <v>191700</v>
      </c>
    </row>
    <row r="46" spans="2:238" s="5" customFormat="1" ht="11.4" customHeight="1">
      <c r="B46" s="58"/>
      <c r="C46" s="13" t="s">
        <v>23</v>
      </c>
      <c r="D46" s="15"/>
      <c r="E46" s="15"/>
      <c r="F46" s="16"/>
      <c r="G46" s="17">
        <f t="shared" si="18"/>
        <v>252842.19</v>
      </c>
      <c r="H46" s="17">
        <v>13491.543</v>
      </c>
      <c r="I46" s="17">
        <f t="shared" si="7"/>
        <v>19671.785</v>
      </c>
      <c r="J46" s="17">
        <f t="shared" si="19"/>
        <v>41470.404999999999</v>
      </c>
      <c r="K46" s="17">
        <v>6180.2420000000002</v>
      </c>
      <c r="L46" s="17">
        <f>10326.23-5000</f>
        <v>5326.23</v>
      </c>
      <c r="M46" s="32">
        <f>9794.175+5000</f>
        <v>14794.174999999999</v>
      </c>
      <c r="N46" s="17">
        <v>50</v>
      </c>
      <c r="O46" s="31">
        <v>0</v>
      </c>
      <c r="P46" s="31">
        <v>21300</v>
      </c>
      <c r="Q46" s="17">
        <v>191700</v>
      </c>
    </row>
    <row r="47" spans="2:238" s="4" customFormat="1" ht="39.6" customHeight="1">
      <c r="B47" s="57">
        <v>14</v>
      </c>
      <c r="C47" s="20" t="s">
        <v>47</v>
      </c>
      <c r="D47" s="8" t="s">
        <v>48</v>
      </c>
      <c r="E47" s="9" t="s">
        <v>49</v>
      </c>
      <c r="F47" s="10">
        <f>G48</f>
        <v>382070.91899999999</v>
      </c>
      <c r="G47" s="26">
        <f t="shared" si="18"/>
        <v>388214.91899999999</v>
      </c>
      <c r="H47" s="35">
        <f>H48</f>
        <v>169125.05600000001</v>
      </c>
      <c r="I47" s="22">
        <f t="shared" si="7"/>
        <v>186434.55200000003</v>
      </c>
      <c r="J47" s="22">
        <f>SUM(L47:P47)</f>
        <v>191900.367</v>
      </c>
      <c r="K47" s="11">
        <f t="shared" ref="K47" si="23">SUM(K48:K48)</f>
        <v>17309.496000000003</v>
      </c>
      <c r="L47" s="11">
        <f t="shared" ref="L47:Q47" si="24">SUM(L48:L49)</f>
        <v>47071.366999999998</v>
      </c>
      <c r="M47" s="11">
        <f t="shared" si="24"/>
        <v>40955</v>
      </c>
      <c r="N47" s="11">
        <f t="shared" si="24"/>
        <v>49050</v>
      </c>
      <c r="O47" s="11">
        <f t="shared" si="24"/>
        <v>29525</v>
      </c>
      <c r="P47" s="11">
        <f t="shared" si="24"/>
        <v>25299</v>
      </c>
      <c r="Q47" s="11">
        <f t="shared" si="24"/>
        <v>9880</v>
      </c>
      <c r="IA47" s="5"/>
      <c r="IB47" s="5"/>
      <c r="IC47" s="12"/>
      <c r="ID47" s="13"/>
    </row>
    <row r="48" spans="2:238" s="4" customFormat="1" ht="11.4" customHeight="1">
      <c r="B48" s="58"/>
      <c r="C48" s="13" t="s">
        <v>23</v>
      </c>
      <c r="D48" s="14"/>
      <c r="E48" s="15"/>
      <c r="F48" s="16"/>
      <c r="G48" s="17">
        <f t="shared" si="18"/>
        <v>382070.91899999999</v>
      </c>
      <c r="H48" s="18">
        <v>169125.05600000001</v>
      </c>
      <c r="I48" s="17">
        <f t="shared" si="7"/>
        <v>186434.55200000003</v>
      </c>
      <c r="J48" s="17">
        <f t="shared" si="19"/>
        <v>185756.367</v>
      </c>
      <c r="K48" s="17">
        <f>16868.863+440.633</f>
        <v>17309.496000000003</v>
      </c>
      <c r="L48" s="17">
        <f>41528-440.633</f>
        <v>41087.366999999998</v>
      </c>
      <c r="M48" s="31">
        <f>46557-4762-1000</f>
        <v>40795</v>
      </c>
      <c r="N48" s="17">
        <f>51621-2571</f>
        <v>49050</v>
      </c>
      <c r="O48" s="17">
        <f>29840-315</f>
        <v>29525</v>
      </c>
      <c r="P48" s="17">
        <f>25940-641</f>
        <v>25299</v>
      </c>
      <c r="Q48" s="17">
        <v>9880</v>
      </c>
    </row>
    <row r="49" spans="2:17" s="4" customFormat="1" ht="11.4" customHeight="1">
      <c r="B49" s="58"/>
      <c r="C49" s="13" t="s">
        <v>24</v>
      </c>
      <c r="D49" s="14"/>
      <c r="E49" s="15"/>
      <c r="F49" s="16"/>
      <c r="G49" s="17">
        <f t="shared" si="18"/>
        <v>6144</v>
      </c>
      <c r="H49" s="18">
        <v>0</v>
      </c>
      <c r="I49" s="17">
        <f>K49+J49</f>
        <v>6144</v>
      </c>
      <c r="J49" s="17">
        <f>SUM(L49:P49)</f>
        <v>6144</v>
      </c>
      <c r="K49" s="17">
        <v>0</v>
      </c>
      <c r="L49" s="31">
        <v>5984</v>
      </c>
      <c r="M49" s="31">
        <f>160</f>
        <v>160</v>
      </c>
      <c r="N49" s="17">
        <v>0</v>
      </c>
      <c r="O49" s="17">
        <v>0</v>
      </c>
      <c r="P49" s="17">
        <v>0</v>
      </c>
      <c r="Q49" s="17">
        <v>0</v>
      </c>
    </row>
    <row r="50" spans="2:17" s="4" customFormat="1" ht="23.4" customHeight="1">
      <c r="B50" s="57">
        <v>15</v>
      </c>
      <c r="C50" s="7" t="s">
        <v>73</v>
      </c>
      <c r="D50" s="8" t="s">
        <v>34</v>
      </c>
      <c r="E50" s="9" t="s">
        <v>74</v>
      </c>
      <c r="F50" s="10">
        <f>G50-G52</f>
        <v>8346.0609999999997</v>
      </c>
      <c r="G50" s="11">
        <f t="shared" si="18"/>
        <v>12896.061</v>
      </c>
      <c r="H50" s="35">
        <f>H51+H52</f>
        <v>0</v>
      </c>
      <c r="I50" s="22">
        <f t="shared" ref="I50:I72" si="25">H50+K50</f>
        <v>1055.3399999999999</v>
      </c>
      <c r="J50" s="11">
        <f t="shared" si="19"/>
        <v>11840.721</v>
      </c>
      <c r="K50" s="11">
        <f t="shared" ref="K50:O50" si="26">SUM(K51:K52)</f>
        <v>1055.3399999999999</v>
      </c>
      <c r="L50" s="11">
        <f t="shared" si="26"/>
        <v>11840.721</v>
      </c>
      <c r="M50" s="11">
        <f t="shared" si="26"/>
        <v>0</v>
      </c>
      <c r="N50" s="11">
        <f t="shared" si="26"/>
        <v>0</v>
      </c>
      <c r="O50" s="11">
        <f t="shared" si="26"/>
        <v>0</v>
      </c>
      <c r="P50" s="11"/>
      <c r="Q50" s="11">
        <f>SUM(O50:O50)</f>
        <v>0</v>
      </c>
    </row>
    <row r="51" spans="2:17" s="4" customFormat="1" ht="11.4" customHeight="1">
      <c r="B51" s="58"/>
      <c r="C51" s="13" t="s">
        <v>23</v>
      </c>
      <c r="D51" s="14"/>
      <c r="E51" s="15"/>
      <c r="F51" s="16"/>
      <c r="G51" s="17">
        <f t="shared" si="18"/>
        <v>8346.0609999999997</v>
      </c>
      <c r="H51" s="18">
        <v>0</v>
      </c>
      <c r="I51" s="17">
        <f t="shared" si="25"/>
        <v>922.697</v>
      </c>
      <c r="J51" s="17">
        <f t="shared" si="19"/>
        <v>7423.3639999999996</v>
      </c>
      <c r="K51" s="18">
        <v>922.697</v>
      </c>
      <c r="L51" s="18">
        <v>7423.3639999999996</v>
      </c>
      <c r="M51" s="18">
        <v>0</v>
      </c>
      <c r="N51" s="18">
        <v>0</v>
      </c>
      <c r="O51" s="18">
        <v>0</v>
      </c>
      <c r="P51" s="18">
        <v>0</v>
      </c>
      <c r="Q51" s="17">
        <f>SUM(O51:O51)</f>
        <v>0</v>
      </c>
    </row>
    <row r="52" spans="2:17" s="4" customFormat="1" ht="11.4" customHeight="1">
      <c r="B52" s="58"/>
      <c r="C52" s="13" t="s">
        <v>24</v>
      </c>
      <c r="D52" s="14"/>
      <c r="E52" s="15"/>
      <c r="F52" s="16"/>
      <c r="G52" s="17">
        <f t="shared" si="18"/>
        <v>4550</v>
      </c>
      <c r="H52" s="18">
        <v>0</v>
      </c>
      <c r="I52" s="17">
        <f t="shared" si="25"/>
        <v>132.643</v>
      </c>
      <c r="J52" s="17">
        <f t="shared" si="19"/>
        <v>4417.357</v>
      </c>
      <c r="K52" s="18">
        <v>132.643</v>
      </c>
      <c r="L52" s="18">
        <f>1550+2867.357</f>
        <v>4417.357</v>
      </c>
      <c r="M52" s="18">
        <v>0</v>
      </c>
      <c r="N52" s="18">
        <v>0</v>
      </c>
      <c r="O52" s="18">
        <v>0</v>
      </c>
      <c r="P52" s="18">
        <v>0</v>
      </c>
      <c r="Q52" s="17">
        <f>SUM(O52:O52)</f>
        <v>0</v>
      </c>
    </row>
    <row r="53" spans="2:17" s="5" customFormat="1" ht="22.2" customHeight="1">
      <c r="B53" s="57">
        <v>16</v>
      </c>
      <c r="C53" s="20" t="s">
        <v>72</v>
      </c>
      <c r="D53" s="27" t="s">
        <v>51</v>
      </c>
      <c r="E53" s="9" t="s">
        <v>63</v>
      </c>
      <c r="F53" s="10">
        <f>G53</f>
        <v>107111.86400000002</v>
      </c>
      <c r="G53" s="11">
        <f t="shared" si="18"/>
        <v>107111.86400000002</v>
      </c>
      <c r="H53" s="35">
        <f>H54</f>
        <v>88398.71</v>
      </c>
      <c r="I53" s="22">
        <f t="shared" si="25"/>
        <v>94416.446000000011</v>
      </c>
      <c r="J53" s="11">
        <f t="shared" si="19"/>
        <v>12695.418</v>
      </c>
      <c r="K53" s="11">
        <f t="shared" ref="K53:O53" si="27">SUM(K54:K54)</f>
        <v>6017.7359999999999</v>
      </c>
      <c r="L53" s="11">
        <f t="shared" si="27"/>
        <v>6017.7359999999999</v>
      </c>
      <c r="M53" s="11">
        <f t="shared" si="27"/>
        <v>6017.7359999999999</v>
      </c>
      <c r="N53" s="11">
        <f t="shared" si="27"/>
        <v>659.94600000000003</v>
      </c>
      <c r="O53" s="11">
        <f t="shared" si="27"/>
        <v>0</v>
      </c>
      <c r="P53" s="11"/>
      <c r="Q53" s="11">
        <f>SUM(O53:O53)</f>
        <v>0</v>
      </c>
    </row>
    <row r="54" spans="2:17" s="5" customFormat="1" ht="12" customHeight="1">
      <c r="B54" s="58"/>
      <c r="C54" s="13" t="s">
        <v>23</v>
      </c>
      <c r="D54" s="15"/>
      <c r="E54" s="15"/>
      <c r="F54" s="16"/>
      <c r="G54" s="17">
        <f t="shared" si="18"/>
        <v>107111.86400000002</v>
      </c>
      <c r="H54" s="17">
        <v>88398.71</v>
      </c>
      <c r="I54" s="17">
        <f t="shared" si="25"/>
        <v>94416.446000000011</v>
      </c>
      <c r="J54" s="17">
        <f t="shared" si="19"/>
        <v>12695.418</v>
      </c>
      <c r="K54" s="17">
        <v>6017.7359999999999</v>
      </c>
      <c r="L54" s="17">
        <v>6017.7359999999999</v>
      </c>
      <c r="M54" s="17">
        <v>6017.7359999999999</v>
      </c>
      <c r="N54" s="17">
        <v>659.94600000000003</v>
      </c>
      <c r="O54" s="17">
        <v>0</v>
      </c>
      <c r="P54" s="17">
        <v>0</v>
      </c>
      <c r="Q54" s="17">
        <f>SUM(O54:O54)</f>
        <v>0</v>
      </c>
    </row>
    <row r="55" spans="2:17" s="5" customFormat="1" ht="22.95" customHeight="1">
      <c r="B55" s="57">
        <v>17</v>
      </c>
      <c r="C55" s="20" t="s">
        <v>85</v>
      </c>
      <c r="D55" s="8" t="s">
        <v>51</v>
      </c>
      <c r="E55" s="29" t="s">
        <v>74</v>
      </c>
      <c r="F55" s="10">
        <f>G55</f>
        <v>23886.630000000005</v>
      </c>
      <c r="G55" s="11">
        <f t="shared" si="18"/>
        <v>23886.630000000005</v>
      </c>
      <c r="H55" s="35">
        <f>H56</f>
        <v>0</v>
      </c>
      <c r="I55" s="22">
        <f t="shared" si="25"/>
        <v>23.343</v>
      </c>
      <c r="J55" s="11">
        <f t="shared" si="19"/>
        <v>19344.961000000003</v>
      </c>
      <c r="K55" s="11">
        <f t="shared" ref="K55:Q55" si="28">SUM(K56)</f>
        <v>23.343</v>
      </c>
      <c r="L55" s="11">
        <f t="shared" si="28"/>
        <v>654.88900000000001</v>
      </c>
      <c r="M55" s="11">
        <f t="shared" si="28"/>
        <v>4518.326</v>
      </c>
      <c r="N55" s="11">
        <f t="shared" si="28"/>
        <v>5135.0940000000001</v>
      </c>
      <c r="O55" s="11">
        <f t="shared" si="28"/>
        <v>4518.326</v>
      </c>
      <c r="P55" s="11">
        <f t="shared" si="28"/>
        <v>4518.326</v>
      </c>
      <c r="Q55" s="11">
        <f t="shared" si="28"/>
        <v>4518.326</v>
      </c>
    </row>
    <row r="56" spans="2:17" s="4" customFormat="1" ht="11.4" customHeight="1">
      <c r="B56" s="58"/>
      <c r="C56" s="13" t="s">
        <v>23</v>
      </c>
      <c r="D56" s="14"/>
      <c r="E56" s="15"/>
      <c r="F56" s="16"/>
      <c r="G56" s="17">
        <f t="shared" si="18"/>
        <v>23886.630000000005</v>
      </c>
      <c r="H56" s="18">
        <v>0</v>
      </c>
      <c r="I56" s="17">
        <f t="shared" si="25"/>
        <v>23.343</v>
      </c>
      <c r="J56" s="17">
        <f t="shared" si="19"/>
        <v>19344.961000000003</v>
      </c>
      <c r="K56" s="17">
        <v>23.343</v>
      </c>
      <c r="L56" s="17">
        <v>654.88900000000001</v>
      </c>
      <c r="M56" s="17">
        <f>4000+518.326</f>
        <v>4518.326</v>
      </c>
      <c r="N56" s="17">
        <v>5135.0940000000001</v>
      </c>
      <c r="O56" s="17">
        <f>4000+518.326</f>
        <v>4518.326</v>
      </c>
      <c r="P56" s="17">
        <v>4518.326</v>
      </c>
      <c r="Q56" s="17">
        <v>4518.326</v>
      </c>
    </row>
    <row r="57" spans="2:17" s="5" customFormat="1" ht="23.4" customHeight="1">
      <c r="B57" s="57">
        <v>18</v>
      </c>
      <c r="C57" s="7" t="s">
        <v>39</v>
      </c>
      <c r="D57" s="8" t="s">
        <v>240</v>
      </c>
      <c r="E57" s="9" t="s">
        <v>32</v>
      </c>
      <c r="F57" s="10">
        <f>G58+G59</f>
        <v>159006.66600000003</v>
      </c>
      <c r="G57" s="11">
        <f t="shared" si="18"/>
        <v>207470.47600000002</v>
      </c>
      <c r="H57" s="35">
        <f>H58+H60+H59</f>
        <v>0</v>
      </c>
      <c r="I57" s="22">
        <f t="shared" si="25"/>
        <v>75632.960000000006</v>
      </c>
      <c r="J57" s="11">
        <f>SUM(L57:P57)</f>
        <v>131837.516</v>
      </c>
      <c r="K57" s="11">
        <f>SUM(K58:K60)</f>
        <v>75632.960000000006</v>
      </c>
      <c r="L57" s="11">
        <f t="shared" ref="L57:Q57" si="29">SUM(L58:L60)</f>
        <v>131837.516</v>
      </c>
      <c r="M57" s="11">
        <f t="shared" si="29"/>
        <v>0</v>
      </c>
      <c r="N57" s="11">
        <f t="shared" si="29"/>
        <v>0</v>
      </c>
      <c r="O57" s="11">
        <f t="shared" si="29"/>
        <v>0</v>
      </c>
      <c r="P57" s="11">
        <f t="shared" si="29"/>
        <v>0</v>
      </c>
      <c r="Q57" s="11">
        <f t="shared" si="29"/>
        <v>0</v>
      </c>
    </row>
    <row r="58" spans="2:17" s="5" customFormat="1" ht="11.4" customHeight="1">
      <c r="B58" s="58"/>
      <c r="C58" s="13" t="s">
        <v>23</v>
      </c>
      <c r="D58" s="14"/>
      <c r="E58" s="15"/>
      <c r="F58" s="16"/>
      <c r="G58" s="17">
        <f t="shared" si="18"/>
        <v>39927.035000000003</v>
      </c>
      <c r="H58" s="18">
        <v>0</v>
      </c>
      <c r="I58" s="17">
        <f t="shared" si="25"/>
        <v>17966.544000000002</v>
      </c>
      <c r="J58" s="17">
        <f>SUM(L58:P58)</f>
        <v>21960.491000000002</v>
      </c>
      <c r="K58" s="17">
        <v>17966.544000000002</v>
      </c>
      <c r="L58" s="17">
        <v>21960.491000000002</v>
      </c>
      <c r="M58" s="17">
        <v>0</v>
      </c>
      <c r="N58" s="17">
        <v>0</v>
      </c>
      <c r="O58" s="17">
        <v>0</v>
      </c>
      <c r="P58" s="17">
        <v>0</v>
      </c>
      <c r="Q58" s="17">
        <f>SUM(O58:O58)</f>
        <v>0</v>
      </c>
    </row>
    <row r="59" spans="2:17" s="5" customFormat="1" ht="11.4" customHeight="1">
      <c r="B59" s="58"/>
      <c r="C59" s="13" t="s">
        <v>36</v>
      </c>
      <c r="D59" s="14"/>
      <c r="E59" s="15"/>
      <c r="F59" s="16"/>
      <c r="G59" s="17">
        <f t="shared" si="18"/>
        <v>119079.63100000001</v>
      </c>
      <c r="H59" s="18">
        <v>0</v>
      </c>
      <c r="I59" s="17">
        <f t="shared" si="25"/>
        <v>15440.955</v>
      </c>
      <c r="J59" s="17">
        <f>SUM(L59:P59)</f>
        <v>103638.67600000001</v>
      </c>
      <c r="K59" s="17">
        <v>15440.955</v>
      </c>
      <c r="L59" s="17">
        <v>103638.67600000001</v>
      </c>
      <c r="M59" s="17">
        <v>0</v>
      </c>
      <c r="N59" s="17">
        <v>0</v>
      </c>
      <c r="O59" s="17">
        <v>0</v>
      </c>
      <c r="P59" s="17">
        <v>0</v>
      </c>
      <c r="Q59" s="17">
        <f>SUM(O59:O59)</f>
        <v>0</v>
      </c>
    </row>
    <row r="60" spans="2:17" s="5" customFormat="1" ht="11.4" customHeight="1">
      <c r="B60" s="58"/>
      <c r="C60" s="13" t="s">
        <v>239</v>
      </c>
      <c r="D60" s="14"/>
      <c r="E60" s="15"/>
      <c r="F60" s="16"/>
      <c r="G60" s="17">
        <f t="shared" si="18"/>
        <v>48463.810000000005</v>
      </c>
      <c r="H60" s="18">
        <v>0</v>
      </c>
      <c r="I60" s="17">
        <f t="shared" si="25"/>
        <v>42225.461000000003</v>
      </c>
      <c r="J60" s="17">
        <f t="shared" ref="J60:J78" si="30">SUM(L60:P60)</f>
        <v>6238.3490000000002</v>
      </c>
      <c r="K60" s="17">
        <v>42225.461000000003</v>
      </c>
      <c r="L60" s="17">
        <v>6238.3490000000002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</row>
    <row r="61" spans="2:17" s="5" customFormat="1" ht="25.2" customHeight="1">
      <c r="B61" s="57">
        <v>19</v>
      </c>
      <c r="C61" s="7" t="s">
        <v>64</v>
      </c>
      <c r="D61" s="8" t="s">
        <v>142</v>
      </c>
      <c r="E61" s="9" t="s">
        <v>65</v>
      </c>
      <c r="F61" s="10">
        <f>G61-G63</f>
        <v>133044.25599999999</v>
      </c>
      <c r="G61" s="11">
        <f t="shared" si="18"/>
        <v>158990.25599999999</v>
      </c>
      <c r="H61" s="35">
        <f>H62+H63+H64</f>
        <v>136779.25599999999</v>
      </c>
      <c r="I61" s="22">
        <f t="shared" si="25"/>
        <v>139302.25599999999</v>
      </c>
      <c r="J61" s="11">
        <f t="shared" si="30"/>
        <v>19688</v>
      </c>
      <c r="K61" s="11">
        <f t="shared" ref="K61:Q61" si="31">SUM(K62:K64)</f>
        <v>2523</v>
      </c>
      <c r="L61" s="11">
        <f t="shared" si="31"/>
        <v>3688</v>
      </c>
      <c r="M61" s="11">
        <f t="shared" si="31"/>
        <v>4000</v>
      </c>
      <c r="N61" s="11">
        <f t="shared" si="31"/>
        <v>4000</v>
      </c>
      <c r="O61" s="11">
        <f t="shared" si="31"/>
        <v>4000</v>
      </c>
      <c r="P61" s="11">
        <f t="shared" si="31"/>
        <v>4000</v>
      </c>
      <c r="Q61" s="11">
        <f t="shared" si="31"/>
        <v>0</v>
      </c>
    </row>
    <row r="62" spans="2:17" s="5" customFormat="1" ht="11.4" customHeight="1">
      <c r="B62" s="58"/>
      <c r="C62" s="13" t="s">
        <v>23</v>
      </c>
      <c r="D62" s="14"/>
      <c r="E62" s="15"/>
      <c r="F62" s="16"/>
      <c r="G62" s="17">
        <f t="shared" si="18"/>
        <v>131333.25599999999</v>
      </c>
      <c r="H62" s="18">
        <v>109122.25599999999</v>
      </c>
      <c r="I62" s="17">
        <f t="shared" si="25"/>
        <v>111645.25599999999</v>
      </c>
      <c r="J62" s="17">
        <f t="shared" si="30"/>
        <v>19688</v>
      </c>
      <c r="K62" s="17">
        <v>2523</v>
      </c>
      <c r="L62" s="17">
        <v>3688</v>
      </c>
      <c r="M62" s="17">
        <v>4000</v>
      </c>
      <c r="N62" s="17">
        <v>4000</v>
      </c>
      <c r="O62" s="17">
        <v>4000</v>
      </c>
      <c r="P62" s="17">
        <v>4000</v>
      </c>
      <c r="Q62" s="17">
        <v>0</v>
      </c>
    </row>
    <row r="63" spans="2:17" s="5" customFormat="1" ht="11.4" customHeight="1">
      <c r="B63" s="58"/>
      <c r="C63" s="13" t="s">
        <v>24</v>
      </c>
      <c r="D63" s="14"/>
      <c r="E63" s="15"/>
      <c r="F63" s="16"/>
      <c r="G63" s="17">
        <f t="shared" si="18"/>
        <v>25946</v>
      </c>
      <c r="H63" s="18">
        <v>25946</v>
      </c>
      <c r="I63" s="17">
        <f t="shared" si="25"/>
        <v>25946</v>
      </c>
      <c r="J63" s="17">
        <f t="shared" si="30"/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f>SUM(O63:O63)</f>
        <v>0</v>
      </c>
    </row>
    <row r="64" spans="2:17" s="4" customFormat="1" ht="11.4" customHeight="1">
      <c r="B64" s="58"/>
      <c r="C64" s="13" t="s">
        <v>66</v>
      </c>
      <c r="D64" s="14"/>
      <c r="E64" s="15"/>
      <c r="F64" s="16"/>
      <c r="G64" s="17">
        <f t="shared" si="18"/>
        <v>1711</v>
      </c>
      <c r="H64" s="18">
        <v>1711</v>
      </c>
      <c r="I64" s="17">
        <f t="shared" si="25"/>
        <v>1711</v>
      </c>
      <c r="J64" s="17">
        <f t="shared" si="30"/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f>SUM(O64:O64)</f>
        <v>0</v>
      </c>
    </row>
    <row r="65" spans="2:238" s="5" customFormat="1" ht="25.2" customHeight="1">
      <c r="B65" s="57">
        <v>20</v>
      </c>
      <c r="C65" s="7" t="s">
        <v>67</v>
      </c>
      <c r="D65" s="8" t="s">
        <v>34</v>
      </c>
      <c r="E65" s="9" t="s">
        <v>63</v>
      </c>
      <c r="F65" s="10">
        <f>G66+G67</f>
        <v>32438.356</v>
      </c>
      <c r="G65" s="11">
        <f t="shared" si="18"/>
        <v>35400.425999999999</v>
      </c>
      <c r="H65" s="35">
        <f>H66+H67+H68</f>
        <v>1821.559</v>
      </c>
      <c r="I65" s="22">
        <f t="shared" si="25"/>
        <v>2072.5590000000002</v>
      </c>
      <c r="J65" s="11">
        <f t="shared" si="30"/>
        <v>33327.866999999998</v>
      </c>
      <c r="K65" s="11">
        <f t="shared" ref="K65:Q65" si="32">SUM(K66:K68)</f>
        <v>251</v>
      </c>
      <c r="L65" s="11">
        <f t="shared" si="32"/>
        <v>18137.866999999998</v>
      </c>
      <c r="M65" s="11">
        <f t="shared" si="32"/>
        <v>0</v>
      </c>
      <c r="N65" s="11">
        <f t="shared" si="32"/>
        <v>15190</v>
      </c>
      <c r="O65" s="11">
        <f t="shared" si="32"/>
        <v>0</v>
      </c>
      <c r="P65" s="11">
        <f t="shared" si="32"/>
        <v>0</v>
      </c>
      <c r="Q65" s="11">
        <f t="shared" si="32"/>
        <v>0</v>
      </c>
    </row>
    <row r="66" spans="2:238" s="5" customFormat="1" ht="11.4" customHeight="1">
      <c r="B66" s="58"/>
      <c r="C66" s="13" t="s">
        <v>23</v>
      </c>
      <c r="D66" s="14"/>
      <c r="E66" s="15"/>
      <c r="F66" s="16"/>
      <c r="G66" s="17">
        <f t="shared" si="18"/>
        <v>23576.912</v>
      </c>
      <c r="H66" s="18">
        <v>1821.559</v>
      </c>
      <c r="I66" s="17">
        <f t="shared" si="25"/>
        <v>1974.1589999999999</v>
      </c>
      <c r="J66" s="17">
        <f t="shared" si="30"/>
        <v>21602.753000000001</v>
      </c>
      <c r="K66" s="17">
        <v>152.6</v>
      </c>
      <c r="L66" s="17">
        <v>6412.7529999999997</v>
      </c>
      <c r="M66" s="17">
        <v>0</v>
      </c>
      <c r="N66" s="17">
        <f>16700-1510</f>
        <v>15190</v>
      </c>
      <c r="O66" s="17">
        <v>0</v>
      </c>
      <c r="P66" s="17">
        <v>0</v>
      </c>
      <c r="Q66" s="17">
        <f>SUM(O66:O66)</f>
        <v>0</v>
      </c>
    </row>
    <row r="67" spans="2:238" s="5" customFormat="1" ht="11.4" customHeight="1">
      <c r="B67" s="58"/>
      <c r="C67" s="13" t="s">
        <v>69</v>
      </c>
      <c r="D67" s="14"/>
      <c r="E67" s="15"/>
      <c r="F67" s="16"/>
      <c r="G67" s="17">
        <f t="shared" si="18"/>
        <v>8861.4439999999995</v>
      </c>
      <c r="H67" s="18">
        <v>0</v>
      </c>
      <c r="I67" s="17">
        <f t="shared" si="25"/>
        <v>98.4</v>
      </c>
      <c r="J67" s="17">
        <f t="shared" si="30"/>
        <v>8763.0439999999999</v>
      </c>
      <c r="K67" s="17">
        <v>98.4</v>
      </c>
      <c r="L67" s="17">
        <v>8763.0439999999999</v>
      </c>
      <c r="M67" s="17">
        <v>0</v>
      </c>
      <c r="N67" s="17">
        <v>0</v>
      </c>
      <c r="O67" s="17">
        <v>0</v>
      </c>
      <c r="P67" s="17">
        <v>0</v>
      </c>
      <c r="Q67" s="17">
        <f>SUM(O67:O67)</f>
        <v>0</v>
      </c>
    </row>
    <row r="68" spans="2:238" s="5" customFormat="1" ht="11.4" customHeight="1">
      <c r="B68" s="58"/>
      <c r="C68" s="13" t="s">
        <v>245</v>
      </c>
      <c r="D68" s="14"/>
      <c r="E68" s="15"/>
      <c r="F68" s="16"/>
      <c r="G68" s="17">
        <f t="shared" si="18"/>
        <v>2962.07</v>
      </c>
      <c r="H68" s="18">
        <v>0</v>
      </c>
      <c r="I68" s="17">
        <f t="shared" si="25"/>
        <v>0</v>
      </c>
      <c r="J68" s="17">
        <f t="shared" si="30"/>
        <v>2962.07</v>
      </c>
      <c r="K68" s="17">
        <v>0</v>
      </c>
      <c r="L68" s="17">
        <f>2840.07+122</f>
        <v>2962.07</v>
      </c>
      <c r="M68" s="17">
        <v>0</v>
      </c>
      <c r="N68" s="17">
        <v>0</v>
      </c>
      <c r="O68" s="17">
        <v>0</v>
      </c>
      <c r="P68" s="17">
        <v>0</v>
      </c>
      <c r="Q68" s="17">
        <f>SUM(O68:O68)</f>
        <v>0</v>
      </c>
    </row>
    <row r="69" spans="2:238" s="5" customFormat="1" ht="23.4" customHeight="1">
      <c r="B69" s="57">
        <v>21</v>
      </c>
      <c r="C69" s="20" t="s">
        <v>86</v>
      </c>
      <c r="D69" s="8" t="s">
        <v>236</v>
      </c>
      <c r="E69" s="29" t="s">
        <v>88</v>
      </c>
      <c r="F69" s="10">
        <f>G69</f>
        <v>125841</v>
      </c>
      <c r="G69" s="11">
        <f t="shared" si="18"/>
        <v>125841</v>
      </c>
      <c r="H69" s="35">
        <f>H70</f>
        <v>0</v>
      </c>
      <c r="I69" s="22">
        <f t="shared" si="25"/>
        <v>50</v>
      </c>
      <c r="J69" s="11">
        <f t="shared" si="30"/>
        <v>105791</v>
      </c>
      <c r="K69" s="11">
        <f t="shared" ref="K69:Q69" si="33">SUM(K70)</f>
        <v>50</v>
      </c>
      <c r="L69" s="11">
        <f t="shared" si="33"/>
        <v>25791</v>
      </c>
      <c r="M69" s="11">
        <f t="shared" si="33"/>
        <v>20000</v>
      </c>
      <c r="N69" s="11">
        <f t="shared" si="33"/>
        <v>20000</v>
      </c>
      <c r="O69" s="11">
        <f t="shared" si="33"/>
        <v>20000</v>
      </c>
      <c r="P69" s="11">
        <f t="shared" si="33"/>
        <v>20000</v>
      </c>
      <c r="Q69" s="11">
        <f t="shared" si="33"/>
        <v>20000</v>
      </c>
    </row>
    <row r="70" spans="2:238" s="4" customFormat="1" ht="11.4" customHeight="1">
      <c r="B70" s="58"/>
      <c r="C70" s="13" t="s">
        <v>23</v>
      </c>
      <c r="D70" s="14"/>
      <c r="E70" s="15"/>
      <c r="F70" s="16"/>
      <c r="G70" s="17">
        <f t="shared" si="18"/>
        <v>125841</v>
      </c>
      <c r="H70" s="18">
        <v>0</v>
      </c>
      <c r="I70" s="17">
        <f t="shared" si="25"/>
        <v>50</v>
      </c>
      <c r="J70" s="17">
        <f t="shared" si="30"/>
        <v>105791</v>
      </c>
      <c r="K70" s="17">
        <v>50</v>
      </c>
      <c r="L70" s="17">
        <v>25791</v>
      </c>
      <c r="M70" s="17">
        <v>20000</v>
      </c>
      <c r="N70" s="17">
        <v>20000</v>
      </c>
      <c r="O70" s="17">
        <v>20000</v>
      </c>
      <c r="P70" s="17">
        <v>20000</v>
      </c>
      <c r="Q70" s="17">
        <f>SUM(O70:O70)</f>
        <v>20000</v>
      </c>
    </row>
    <row r="71" spans="2:238" s="5" customFormat="1" ht="22.95" customHeight="1">
      <c r="B71" s="57">
        <v>22</v>
      </c>
      <c r="C71" s="51" t="s">
        <v>42</v>
      </c>
      <c r="D71" s="8" t="s">
        <v>51</v>
      </c>
      <c r="E71" s="9" t="s">
        <v>43</v>
      </c>
      <c r="F71" s="10">
        <f>G71</f>
        <v>11558</v>
      </c>
      <c r="G71" s="11">
        <f t="shared" ref="G71:G102" si="34">H71+J71+K71+Q71</f>
        <v>11558</v>
      </c>
      <c r="H71" s="35">
        <f>H72</f>
        <v>0</v>
      </c>
      <c r="I71" s="22">
        <f t="shared" si="25"/>
        <v>0</v>
      </c>
      <c r="J71" s="11">
        <f t="shared" si="30"/>
        <v>11558</v>
      </c>
      <c r="K71" s="11">
        <f>K72</f>
        <v>0</v>
      </c>
      <c r="L71" s="11">
        <f t="shared" ref="L71:Q71" si="35">L72</f>
        <v>1920</v>
      </c>
      <c r="M71" s="11">
        <f t="shared" si="35"/>
        <v>9638</v>
      </c>
      <c r="N71" s="11">
        <f t="shared" si="35"/>
        <v>0</v>
      </c>
      <c r="O71" s="11">
        <f t="shared" si="35"/>
        <v>0</v>
      </c>
      <c r="P71" s="11">
        <f t="shared" si="35"/>
        <v>0</v>
      </c>
      <c r="Q71" s="11">
        <f t="shared" si="35"/>
        <v>0</v>
      </c>
      <c r="IC71" s="6"/>
      <c r="ID71" s="21"/>
    </row>
    <row r="72" spans="2:238" s="5" customFormat="1" ht="11.4" customHeight="1">
      <c r="B72" s="58"/>
      <c r="C72" s="13" t="s">
        <v>23</v>
      </c>
      <c r="D72" s="14"/>
      <c r="E72" s="15"/>
      <c r="F72" s="16"/>
      <c r="G72" s="25">
        <f t="shared" si="34"/>
        <v>11558</v>
      </c>
      <c r="H72" s="18">
        <v>0</v>
      </c>
      <c r="I72" s="17">
        <f t="shared" si="25"/>
        <v>0</v>
      </c>
      <c r="J72" s="17">
        <f t="shared" si="30"/>
        <v>11558</v>
      </c>
      <c r="K72" s="17">
        <v>0</v>
      </c>
      <c r="L72" s="17">
        <v>1920</v>
      </c>
      <c r="M72" s="31">
        <f>10080-442</f>
        <v>9638</v>
      </c>
      <c r="N72" s="31">
        <v>0</v>
      </c>
      <c r="O72" s="17">
        <v>0</v>
      </c>
      <c r="P72" s="17">
        <v>0</v>
      </c>
      <c r="Q72" s="17">
        <v>0</v>
      </c>
      <c r="IC72" s="12"/>
      <c r="ID72" s="13"/>
    </row>
    <row r="73" spans="2:238" s="5" customFormat="1" ht="11.4" customHeight="1">
      <c r="B73" s="58"/>
      <c r="C73" s="13" t="s">
        <v>24</v>
      </c>
      <c r="D73" s="14"/>
      <c r="E73" s="15"/>
      <c r="F73" s="16"/>
      <c r="G73" s="25">
        <f t="shared" si="34"/>
        <v>2456</v>
      </c>
      <c r="H73" s="18">
        <v>0</v>
      </c>
      <c r="I73" s="17">
        <v>0</v>
      </c>
      <c r="J73" s="17">
        <f t="shared" si="30"/>
        <v>2456</v>
      </c>
      <c r="K73" s="17">
        <v>0</v>
      </c>
      <c r="L73" s="17">
        <v>0</v>
      </c>
      <c r="M73" s="31">
        <v>2456</v>
      </c>
      <c r="N73" s="31">
        <v>0</v>
      </c>
      <c r="O73" s="17">
        <v>0</v>
      </c>
      <c r="P73" s="17">
        <v>0</v>
      </c>
      <c r="Q73" s="17">
        <v>0</v>
      </c>
      <c r="IC73" s="52"/>
      <c r="ID73" s="53"/>
    </row>
    <row r="74" spans="2:238" s="5" customFormat="1" ht="25.2" customHeight="1">
      <c r="B74" s="57">
        <v>23</v>
      </c>
      <c r="C74" s="7" t="s">
        <v>70</v>
      </c>
      <c r="D74" s="8" t="s">
        <v>228</v>
      </c>
      <c r="E74" s="9" t="s">
        <v>105</v>
      </c>
      <c r="F74" s="10">
        <f>G74</f>
        <v>6500</v>
      </c>
      <c r="G74" s="11">
        <f t="shared" si="34"/>
        <v>6500</v>
      </c>
      <c r="H74" s="35">
        <f>H75</f>
        <v>0</v>
      </c>
      <c r="I74" s="22">
        <f t="shared" ref="I74:I106" si="36">H74+K74</f>
        <v>0</v>
      </c>
      <c r="J74" s="11">
        <f t="shared" ref="J74:J75" si="37">SUM(L74:P74)</f>
        <v>6500</v>
      </c>
      <c r="K74" s="11">
        <f t="shared" ref="K74:P74" si="38">SUM(K75:K75)</f>
        <v>0</v>
      </c>
      <c r="L74" s="11">
        <f t="shared" si="38"/>
        <v>500</v>
      </c>
      <c r="M74" s="11">
        <f t="shared" si="38"/>
        <v>1500</v>
      </c>
      <c r="N74" s="11">
        <f t="shared" si="38"/>
        <v>1500</v>
      </c>
      <c r="O74" s="11">
        <f t="shared" si="38"/>
        <v>1500</v>
      </c>
      <c r="P74" s="11">
        <f t="shared" si="38"/>
        <v>1500</v>
      </c>
      <c r="Q74" s="11">
        <v>0</v>
      </c>
    </row>
    <row r="75" spans="2:238" s="5" customFormat="1" ht="11.4" customHeight="1">
      <c r="B75" s="58"/>
      <c r="C75" s="13" t="s">
        <v>23</v>
      </c>
      <c r="D75" s="14"/>
      <c r="E75" s="15"/>
      <c r="F75" s="16"/>
      <c r="G75" s="17">
        <f t="shared" si="34"/>
        <v>6500</v>
      </c>
      <c r="H75" s="18">
        <v>0</v>
      </c>
      <c r="I75" s="47">
        <f t="shared" si="36"/>
        <v>0</v>
      </c>
      <c r="J75" s="17">
        <f t="shared" si="37"/>
        <v>6500</v>
      </c>
      <c r="K75" s="17">
        <v>0</v>
      </c>
      <c r="L75" s="17">
        <v>500</v>
      </c>
      <c r="M75" s="17">
        <v>1500</v>
      </c>
      <c r="N75" s="17">
        <v>1500</v>
      </c>
      <c r="O75" s="17">
        <v>1500</v>
      </c>
      <c r="P75" s="17">
        <v>1500</v>
      </c>
      <c r="Q75" s="17">
        <v>0</v>
      </c>
    </row>
    <row r="76" spans="2:238" s="5" customFormat="1" ht="25.2" customHeight="1">
      <c r="B76" s="57">
        <v>24</v>
      </c>
      <c r="C76" s="7" t="s">
        <v>76</v>
      </c>
      <c r="D76" s="8" t="s">
        <v>77</v>
      </c>
      <c r="E76" s="9" t="s">
        <v>78</v>
      </c>
      <c r="F76" s="10">
        <f>G76-G78</f>
        <v>16196.450999999999</v>
      </c>
      <c r="G76" s="11">
        <f t="shared" si="34"/>
        <v>18728.581999999999</v>
      </c>
      <c r="H76" s="35">
        <f>H77+H78</f>
        <v>4017.5819999999999</v>
      </c>
      <c r="I76" s="22">
        <f t="shared" si="36"/>
        <v>4017.5819999999999</v>
      </c>
      <c r="J76" s="11">
        <f t="shared" si="30"/>
        <v>14711</v>
      </c>
      <c r="K76" s="11">
        <f t="shared" ref="K76:P76" si="39">SUM(K77:K78)</f>
        <v>0</v>
      </c>
      <c r="L76" s="11">
        <f t="shared" si="39"/>
        <v>0</v>
      </c>
      <c r="M76" s="11">
        <f t="shared" si="39"/>
        <v>14711</v>
      </c>
      <c r="N76" s="11">
        <f t="shared" si="39"/>
        <v>0</v>
      </c>
      <c r="O76" s="11">
        <f t="shared" si="39"/>
        <v>0</v>
      </c>
      <c r="P76" s="11">
        <f t="shared" si="39"/>
        <v>0</v>
      </c>
      <c r="Q76" s="11">
        <f>SUM(O76:O76)</f>
        <v>0</v>
      </c>
    </row>
    <row r="77" spans="2:238" s="5" customFormat="1" ht="11.4" customHeight="1">
      <c r="B77" s="58"/>
      <c r="C77" s="13" t="s">
        <v>23</v>
      </c>
      <c r="D77" s="14"/>
      <c r="E77" s="15"/>
      <c r="F77" s="16"/>
      <c r="G77" s="17">
        <f t="shared" si="34"/>
        <v>16196.451000000001</v>
      </c>
      <c r="H77" s="18">
        <v>3100.451</v>
      </c>
      <c r="I77" s="17">
        <f t="shared" si="36"/>
        <v>3100.451</v>
      </c>
      <c r="J77" s="17">
        <f t="shared" si="30"/>
        <v>13096</v>
      </c>
      <c r="K77" s="17">
        <v>0</v>
      </c>
      <c r="L77" s="17">
        <v>0</v>
      </c>
      <c r="M77" s="17">
        <f>13920-824</f>
        <v>13096</v>
      </c>
      <c r="N77" s="17">
        <v>0</v>
      </c>
      <c r="O77" s="17">
        <v>0</v>
      </c>
      <c r="P77" s="17">
        <v>0</v>
      </c>
      <c r="Q77" s="17">
        <f>SUM(O77:O77)</f>
        <v>0</v>
      </c>
    </row>
    <row r="78" spans="2:238" s="4" customFormat="1" ht="11.4" customHeight="1">
      <c r="B78" s="58"/>
      <c r="C78" s="13" t="s">
        <v>24</v>
      </c>
      <c r="D78" s="14"/>
      <c r="E78" s="15"/>
      <c r="F78" s="16"/>
      <c r="G78" s="17">
        <f t="shared" si="34"/>
        <v>2532.1309999999999</v>
      </c>
      <c r="H78" s="18">
        <v>917.13099999999997</v>
      </c>
      <c r="I78" s="17">
        <f t="shared" si="36"/>
        <v>917.13099999999997</v>
      </c>
      <c r="J78" s="17">
        <f t="shared" si="30"/>
        <v>1615</v>
      </c>
      <c r="K78" s="17">
        <v>0</v>
      </c>
      <c r="L78" s="17">
        <v>0</v>
      </c>
      <c r="M78" s="17">
        <v>1615</v>
      </c>
      <c r="N78" s="17">
        <v>0</v>
      </c>
      <c r="O78" s="17">
        <v>0</v>
      </c>
      <c r="P78" s="17">
        <v>0</v>
      </c>
      <c r="Q78" s="17">
        <f>SUM(O78:O78)</f>
        <v>0</v>
      </c>
    </row>
    <row r="79" spans="2:238" s="5" customFormat="1" ht="25.2" customHeight="1">
      <c r="B79" s="57">
        <v>25</v>
      </c>
      <c r="C79" s="51" t="s">
        <v>40</v>
      </c>
      <c r="D79" s="8" t="s">
        <v>256</v>
      </c>
      <c r="E79" s="9" t="s">
        <v>41</v>
      </c>
      <c r="F79" s="10">
        <f>G80+G81</f>
        <v>81858</v>
      </c>
      <c r="G79" s="11">
        <f t="shared" si="34"/>
        <v>87330</v>
      </c>
      <c r="H79" s="35">
        <f>H80+H82+H81</f>
        <v>0</v>
      </c>
      <c r="I79" s="22">
        <f t="shared" si="36"/>
        <v>0</v>
      </c>
      <c r="J79" s="11">
        <f>SUM(L79:P79)</f>
        <v>87330</v>
      </c>
      <c r="K79" s="11">
        <f>SUM(K80:K81)</f>
        <v>0</v>
      </c>
      <c r="L79" s="11">
        <f>SUM(L80:L81)</f>
        <v>0</v>
      </c>
      <c r="M79" s="11">
        <f>SUM(M80:M82)</f>
        <v>25062.48</v>
      </c>
      <c r="N79" s="11">
        <f>SUM(N80:N82)</f>
        <v>16708.32</v>
      </c>
      <c r="O79" s="11">
        <f>SUM(O80:O82)</f>
        <v>19237.199999999997</v>
      </c>
      <c r="P79" s="11">
        <f>SUM(P80:P82)</f>
        <v>26322</v>
      </c>
      <c r="Q79" s="11">
        <f>SUM(Q80:Q82)</f>
        <v>0</v>
      </c>
    </row>
    <row r="80" spans="2:238" s="5" customFormat="1" ht="11.4" customHeight="1">
      <c r="B80" s="58"/>
      <c r="C80" s="13" t="s">
        <v>23</v>
      </c>
      <c r="D80" s="14"/>
      <c r="E80" s="15"/>
      <c r="F80" s="16"/>
      <c r="G80" s="17">
        <f t="shared" si="34"/>
        <v>21508</v>
      </c>
      <c r="H80" s="18">
        <v>0</v>
      </c>
      <c r="I80" s="17">
        <f t="shared" si="36"/>
        <v>0</v>
      </c>
      <c r="J80" s="17">
        <f>SUM(L80:P80)</f>
        <v>21508</v>
      </c>
      <c r="K80" s="17">
        <v>0</v>
      </c>
      <c r="L80" s="17">
        <v>0</v>
      </c>
      <c r="M80" s="17">
        <v>7742.88</v>
      </c>
      <c r="N80" s="17">
        <v>5161.92</v>
      </c>
      <c r="O80" s="17">
        <v>4301.6000000000004</v>
      </c>
      <c r="P80" s="17">
        <v>4301.6000000000004</v>
      </c>
      <c r="Q80" s="17">
        <v>0</v>
      </c>
    </row>
    <row r="81" spans="2:238" s="5" customFormat="1" ht="11.4" customHeight="1">
      <c r="B81" s="58"/>
      <c r="C81" s="13" t="s">
        <v>36</v>
      </c>
      <c r="D81" s="14"/>
      <c r="E81" s="15"/>
      <c r="F81" s="16"/>
      <c r="G81" s="17">
        <f t="shared" si="34"/>
        <v>60350</v>
      </c>
      <c r="H81" s="18">
        <v>0</v>
      </c>
      <c r="I81" s="17">
        <f t="shared" si="36"/>
        <v>0</v>
      </c>
      <c r="J81" s="17">
        <f>SUM(L81:P81)</f>
        <v>60350</v>
      </c>
      <c r="K81" s="17">
        <v>0</v>
      </c>
      <c r="L81" s="17">
        <v>0</v>
      </c>
      <c r="M81" s="17">
        <v>17319.599999999999</v>
      </c>
      <c r="N81" s="17">
        <v>11546.4</v>
      </c>
      <c r="O81" s="17">
        <v>13294</v>
      </c>
      <c r="P81" s="17">
        <v>18190</v>
      </c>
      <c r="Q81" s="17">
        <v>0</v>
      </c>
    </row>
    <row r="82" spans="2:238" s="5" customFormat="1" ht="11.4" customHeight="1">
      <c r="B82" s="58"/>
      <c r="C82" s="13" t="s">
        <v>38</v>
      </c>
      <c r="D82" s="14"/>
      <c r="E82" s="15"/>
      <c r="F82" s="16"/>
      <c r="G82" s="17">
        <f t="shared" si="34"/>
        <v>5472</v>
      </c>
      <c r="H82" s="18">
        <v>0</v>
      </c>
      <c r="I82" s="17">
        <f t="shared" si="36"/>
        <v>0</v>
      </c>
      <c r="J82" s="17">
        <f t="shared" ref="J82:J84" si="40">SUM(L82:P82)</f>
        <v>5472</v>
      </c>
      <c r="K82" s="17">
        <v>0</v>
      </c>
      <c r="L82" s="17">
        <v>0</v>
      </c>
      <c r="M82" s="17">
        <v>0</v>
      </c>
      <c r="N82" s="17">
        <v>0</v>
      </c>
      <c r="O82" s="17">
        <v>1641.6</v>
      </c>
      <c r="P82" s="17">
        <v>3830.4</v>
      </c>
      <c r="Q82" s="17">
        <v>0</v>
      </c>
    </row>
    <row r="83" spans="2:238" s="5" customFormat="1" ht="25.2" customHeight="1">
      <c r="B83" s="57">
        <v>26</v>
      </c>
      <c r="C83" s="20" t="s">
        <v>82</v>
      </c>
      <c r="D83" s="8" t="s">
        <v>215</v>
      </c>
      <c r="E83" s="29">
        <v>2016</v>
      </c>
      <c r="F83" s="10">
        <f>G83</f>
        <v>5200</v>
      </c>
      <c r="G83" s="11">
        <f t="shared" si="34"/>
        <v>5200</v>
      </c>
      <c r="H83" s="35">
        <f>H84</f>
        <v>0</v>
      </c>
      <c r="I83" s="22">
        <f t="shared" si="36"/>
        <v>0</v>
      </c>
      <c r="J83" s="11">
        <f t="shared" si="40"/>
        <v>5200</v>
      </c>
      <c r="K83" s="11">
        <f t="shared" ref="K83:P85" si="41">SUM(K84)</f>
        <v>0</v>
      </c>
      <c r="L83" s="11">
        <f t="shared" si="41"/>
        <v>0</v>
      </c>
      <c r="M83" s="11">
        <f t="shared" si="41"/>
        <v>5200</v>
      </c>
      <c r="N83" s="11">
        <f t="shared" si="41"/>
        <v>0</v>
      </c>
      <c r="O83" s="11">
        <f t="shared" si="41"/>
        <v>0</v>
      </c>
      <c r="P83" s="11">
        <f t="shared" si="41"/>
        <v>0</v>
      </c>
      <c r="Q83" s="11">
        <f>SUM(O83:O83)</f>
        <v>0</v>
      </c>
    </row>
    <row r="84" spans="2:238" s="4" customFormat="1" ht="11.4" customHeight="1">
      <c r="B84" s="58"/>
      <c r="C84" s="13" t="s">
        <v>23</v>
      </c>
      <c r="D84" s="14"/>
      <c r="E84" s="15"/>
      <c r="F84" s="16"/>
      <c r="G84" s="17">
        <f t="shared" si="34"/>
        <v>5200</v>
      </c>
      <c r="H84" s="18">
        <v>0</v>
      </c>
      <c r="I84" s="17">
        <f t="shared" si="36"/>
        <v>0</v>
      </c>
      <c r="J84" s="17">
        <f t="shared" si="40"/>
        <v>5200</v>
      </c>
      <c r="K84" s="17">
        <v>0</v>
      </c>
      <c r="L84" s="17">
        <v>0</v>
      </c>
      <c r="M84" s="17">
        <v>5200</v>
      </c>
      <c r="N84" s="17">
        <v>0</v>
      </c>
      <c r="O84" s="17">
        <v>0</v>
      </c>
      <c r="P84" s="17">
        <v>0</v>
      </c>
      <c r="Q84" s="17">
        <f>SUM(O84:O84)</f>
        <v>0</v>
      </c>
    </row>
    <row r="85" spans="2:238" s="5" customFormat="1" ht="25.2" customHeight="1">
      <c r="B85" s="57">
        <v>27</v>
      </c>
      <c r="C85" s="20" t="s">
        <v>271</v>
      </c>
      <c r="D85" s="8" t="s">
        <v>272</v>
      </c>
      <c r="E85" s="29" t="s">
        <v>84</v>
      </c>
      <c r="F85" s="10">
        <f>G85</f>
        <v>3200</v>
      </c>
      <c r="G85" s="11">
        <f t="shared" si="34"/>
        <v>3200</v>
      </c>
      <c r="H85" s="35">
        <f>H86</f>
        <v>0</v>
      </c>
      <c r="I85" s="22">
        <f t="shared" si="36"/>
        <v>0</v>
      </c>
      <c r="J85" s="11">
        <f t="shared" ref="J85:J86" si="42">SUM(L85:P85)</f>
        <v>3200</v>
      </c>
      <c r="K85" s="11">
        <f t="shared" si="41"/>
        <v>0</v>
      </c>
      <c r="L85" s="11">
        <f t="shared" si="41"/>
        <v>1200</v>
      </c>
      <c r="M85" s="11">
        <f t="shared" si="41"/>
        <v>2000</v>
      </c>
      <c r="N85" s="11">
        <f t="shared" si="41"/>
        <v>0</v>
      </c>
      <c r="O85" s="11">
        <f t="shared" si="41"/>
        <v>0</v>
      </c>
      <c r="P85" s="11">
        <f t="shared" si="41"/>
        <v>0</v>
      </c>
      <c r="Q85" s="11">
        <f>SUM(O85:O85)</f>
        <v>0</v>
      </c>
    </row>
    <row r="86" spans="2:238" s="4" customFormat="1" ht="11.4" customHeight="1">
      <c r="B86" s="58"/>
      <c r="C86" s="13" t="s">
        <v>23</v>
      </c>
      <c r="D86" s="14"/>
      <c r="E86" s="15"/>
      <c r="F86" s="16"/>
      <c r="G86" s="17">
        <f t="shared" si="34"/>
        <v>3200</v>
      </c>
      <c r="H86" s="18">
        <v>0</v>
      </c>
      <c r="I86" s="17">
        <f t="shared" si="36"/>
        <v>0</v>
      </c>
      <c r="J86" s="17">
        <f t="shared" si="42"/>
        <v>3200</v>
      </c>
      <c r="K86" s="17">
        <v>0</v>
      </c>
      <c r="L86" s="17">
        <v>1200</v>
      </c>
      <c r="M86" s="17">
        <v>2000</v>
      </c>
      <c r="N86" s="17">
        <v>0</v>
      </c>
      <c r="O86" s="17">
        <v>0</v>
      </c>
      <c r="P86" s="17">
        <v>0</v>
      </c>
      <c r="Q86" s="17">
        <f>SUM(O86:O86)</f>
        <v>0</v>
      </c>
    </row>
    <row r="87" spans="2:238" s="5" customFormat="1" ht="25.2" customHeight="1">
      <c r="B87" s="57">
        <v>28</v>
      </c>
      <c r="C87" s="63" t="s">
        <v>275</v>
      </c>
      <c r="D87" s="8" t="s">
        <v>51</v>
      </c>
      <c r="E87" s="9" t="s">
        <v>46</v>
      </c>
      <c r="F87" s="10">
        <f>G87</f>
        <v>330000</v>
      </c>
      <c r="G87" s="11">
        <f t="shared" si="34"/>
        <v>330000</v>
      </c>
      <c r="H87" s="35">
        <f>H88+H89</f>
        <v>0</v>
      </c>
      <c r="I87" s="22">
        <f t="shared" si="36"/>
        <v>0</v>
      </c>
      <c r="J87" s="22">
        <f>SUM(L87:P87)</f>
        <v>330000</v>
      </c>
      <c r="K87" s="11">
        <f>SUM(K88:K89)</f>
        <v>0</v>
      </c>
      <c r="L87" s="11">
        <f t="shared" ref="L87:Q87" si="43">SUM(L88:L89)</f>
        <v>0</v>
      </c>
      <c r="M87" s="11">
        <f t="shared" si="43"/>
        <v>0</v>
      </c>
      <c r="N87" s="11">
        <f>SUM(N88:N89)</f>
        <v>9000</v>
      </c>
      <c r="O87" s="11">
        <f t="shared" si="43"/>
        <v>81000</v>
      </c>
      <c r="P87" s="11">
        <f t="shared" si="43"/>
        <v>240000</v>
      </c>
      <c r="Q87" s="11">
        <f t="shared" si="43"/>
        <v>0</v>
      </c>
    </row>
    <row r="88" spans="2:238" s="5" customFormat="1" ht="11.4" customHeight="1">
      <c r="B88" s="58"/>
      <c r="C88" s="13" t="s">
        <v>23</v>
      </c>
      <c r="D88" s="17"/>
      <c r="E88" s="17"/>
      <c r="F88" s="17"/>
      <c r="G88" s="23">
        <f t="shared" si="34"/>
        <v>121301</v>
      </c>
      <c r="H88" s="17">
        <v>0</v>
      </c>
      <c r="I88" s="17">
        <f t="shared" si="36"/>
        <v>0</v>
      </c>
      <c r="J88" s="17">
        <f>SUM(L88:P88)</f>
        <v>121301</v>
      </c>
      <c r="K88" s="24">
        <v>0</v>
      </c>
      <c r="L88" s="44">
        <v>0</v>
      </c>
      <c r="M88" s="34">
        <v>0</v>
      </c>
      <c r="N88" s="34">
        <v>9000</v>
      </c>
      <c r="O88" s="34">
        <f>19000+11512</f>
        <v>30512</v>
      </c>
      <c r="P88" s="34">
        <v>81789</v>
      </c>
      <c r="Q88" s="24">
        <v>0</v>
      </c>
    </row>
    <row r="89" spans="2:238" s="5" customFormat="1" ht="11.4" customHeight="1">
      <c r="B89" s="58"/>
      <c r="C89" s="13" t="s">
        <v>36</v>
      </c>
      <c r="D89" s="17"/>
      <c r="E89" s="17"/>
      <c r="F89" s="17"/>
      <c r="G89" s="23">
        <f t="shared" si="34"/>
        <v>208699</v>
      </c>
      <c r="H89" s="17">
        <v>0</v>
      </c>
      <c r="I89" s="17">
        <f t="shared" si="36"/>
        <v>0</v>
      </c>
      <c r="J89" s="17">
        <f>SUM(L89:P89)</f>
        <v>208699</v>
      </c>
      <c r="K89" s="24">
        <v>0</v>
      </c>
      <c r="L89" s="24">
        <v>0</v>
      </c>
      <c r="M89" s="34">
        <v>0</v>
      </c>
      <c r="N89" s="34">
        <v>0</v>
      </c>
      <c r="O89" s="34">
        <v>50488</v>
      </c>
      <c r="P89" s="34">
        <v>158211</v>
      </c>
      <c r="Q89" s="24">
        <v>0</v>
      </c>
    </row>
    <row r="90" spans="2:238" s="5" customFormat="1" ht="23.4" customHeight="1">
      <c r="B90" s="57">
        <v>29</v>
      </c>
      <c r="C90" s="51" t="s">
        <v>45</v>
      </c>
      <c r="D90" s="8" t="s">
        <v>87</v>
      </c>
      <c r="E90" s="9" t="s">
        <v>46</v>
      </c>
      <c r="F90" s="10">
        <f>G90</f>
        <v>33000</v>
      </c>
      <c r="G90" s="11">
        <f t="shared" si="34"/>
        <v>33000</v>
      </c>
      <c r="H90" s="35">
        <f>H91</f>
        <v>0</v>
      </c>
      <c r="I90" s="22">
        <f t="shared" si="36"/>
        <v>0</v>
      </c>
      <c r="J90" s="11">
        <f>SUM(L90:P90)</f>
        <v>33000</v>
      </c>
      <c r="K90" s="11">
        <f t="shared" ref="K90:Q90" si="44">K91</f>
        <v>0</v>
      </c>
      <c r="L90" s="11">
        <f t="shared" si="44"/>
        <v>0</v>
      </c>
      <c r="M90" s="11">
        <f t="shared" si="44"/>
        <v>0</v>
      </c>
      <c r="N90" s="11">
        <f t="shared" si="44"/>
        <v>5000</v>
      </c>
      <c r="O90" s="11">
        <f t="shared" si="44"/>
        <v>18000</v>
      </c>
      <c r="P90" s="11">
        <f t="shared" si="44"/>
        <v>10000</v>
      </c>
      <c r="Q90" s="11">
        <f t="shared" si="44"/>
        <v>0</v>
      </c>
      <c r="IC90" s="6"/>
      <c r="ID90" s="21"/>
    </row>
    <row r="91" spans="2:238" s="5" customFormat="1" ht="11.4" customHeight="1">
      <c r="B91" s="58"/>
      <c r="C91" s="13" t="s">
        <v>23</v>
      </c>
      <c r="D91" s="14"/>
      <c r="E91" s="15"/>
      <c r="F91" s="16"/>
      <c r="G91" s="17">
        <f t="shared" si="34"/>
        <v>33000</v>
      </c>
      <c r="H91" s="18">
        <v>0</v>
      </c>
      <c r="I91" s="17">
        <f t="shared" si="36"/>
        <v>0</v>
      </c>
      <c r="J91" s="17">
        <f>SUM(L91:P91)</f>
        <v>33000</v>
      </c>
      <c r="K91" s="17">
        <v>0</v>
      </c>
      <c r="L91" s="17">
        <v>0</v>
      </c>
      <c r="M91" s="31">
        <v>0</v>
      </c>
      <c r="N91" s="31">
        <v>5000</v>
      </c>
      <c r="O91" s="17">
        <v>18000</v>
      </c>
      <c r="P91" s="17">
        <v>10000</v>
      </c>
      <c r="Q91" s="17">
        <v>0</v>
      </c>
      <c r="IC91" s="12"/>
      <c r="ID91" s="13"/>
    </row>
    <row r="92" spans="2:238" s="5" customFormat="1" ht="24" customHeight="1">
      <c r="B92" s="57">
        <v>30</v>
      </c>
      <c r="C92" s="48" t="s">
        <v>253</v>
      </c>
      <c r="D92" s="8" t="s">
        <v>34</v>
      </c>
      <c r="E92" s="9" t="s">
        <v>44</v>
      </c>
      <c r="F92" s="10">
        <f>G92-G95</f>
        <v>29778.620999999999</v>
      </c>
      <c r="G92" s="11">
        <f t="shared" si="34"/>
        <v>32090.975999999999</v>
      </c>
      <c r="H92" s="35">
        <f>H93+H94+H95</f>
        <v>0</v>
      </c>
      <c r="I92" s="22">
        <f t="shared" si="36"/>
        <v>0</v>
      </c>
      <c r="J92" s="11">
        <f t="shared" ref="J92:J100" si="45">SUM(L92:P92)</f>
        <v>32090.975999999999</v>
      </c>
      <c r="K92" s="11">
        <f>SUM(K93:K95)</f>
        <v>0</v>
      </c>
      <c r="L92" s="11">
        <f t="shared" ref="L92:Q92" si="46">SUM(L93:L95)</f>
        <v>0</v>
      </c>
      <c r="M92" s="11">
        <f t="shared" si="46"/>
        <v>0</v>
      </c>
      <c r="N92" s="11">
        <f t="shared" si="46"/>
        <v>32090.975999999999</v>
      </c>
      <c r="O92" s="11">
        <f t="shared" si="46"/>
        <v>0</v>
      </c>
      <c r="P92" s="11">
        <f t="shared" si="46"/>
        <v>0</v>
      </c>
      <c r="Q92" s="11">
        <f t="shared" si="46"/>
        <v>0</v>
      </c>
    </row>
    <row r="93" spans="2:238" s="5" customFormat="1" ht="11.4" customHeight="1">
      <c r="B93" s="59"/>
      <c r="C93" s="13" t="s">
        <v>23</v>
      </c>
      <c r="D93" s="14"/>
      <c r="E93" s="15"/>
      <c r="F93" s="16"/>
      <c r="G93" s="17">
        <f t="shared" si="34"/>
        <v>9269</v>
      </c>
      <c r="H93" s="18">
        <v>0</v>
      </c>
      <c r="I93" s="17">
        <f t="shared" si="36"/>
        <v>0</v>
      </c>
      <c r="J93" s="17">
        <f t="shared" si="45"/>
        <v>9269</v>
      </c>
      <c r="K93" s="17">
        <v>0</v>
      </c>
      <c r="L93" s="17">
        <v>0</v>
      </c>
      <c r="M93" s="17">
        <v>0</v>
      </c>
      <c r="N93" s="17">
        <v>9269</v>
      </c>
      <c r="O93" s="17">
        <v>0</v>
      </c>
      <c r="P93" s="17">
        <v>0</v>
      </c>
      <c r="Q93" s="17">
        <f t="shared" ref="Q93:Q100" si="47">SUM(O93:O93)</f>
        <v>0</v>
      </c>
    </row>
    <row r="94" spans="2:238" s="5" customFormat="1" ht="11.4" customHeight="1">
      <c r="B94" s="59"/>
      <c r="C94" s="13" t="s">
        <v>36</v>
      </c>
      <c r="D94" s="14"/>
      <c r="E94" s="15"/>
      <c r="F94" s="16"/>
      <c r="G94" s="17">
        <f t="shared" si="34"/>
        <v>20509.620999999999</v>
      </c>
      <c r="H94" s="18">
        <v>0</v>
      </c>
      <c r="I94" s="17">
        <f t="shared" si="36"/>
        <v>0</v>
      </c>
      <c r="J94" s="17">
        <f t="shared" si="45"/>
        <v>20509.620999999999</v>
      </c>
      <c r="K94" s="17">
        <v>0</v>
      </c>
      <c r="L94" s="17">
        <v>0</v>
      </c>
      <c r="M94" s="17">
        <v>0</v>
      </c>
      <c r="N94" s="17">
        <v>20509.620999999999</v>
      </c>
      <c r="O94" s="17">
        <v>0</v>
      </c>
      <c r="P94" s="17">
        <v>0</v>
      </c>
      <c r="Q94" s="17">
        <f t="shared" si="47"/>
        <v>0</v>
      </c>
    </row>
    <row r="95" spans="2:238" s="5" customFormat="1" ht="11.4" customHeight="1">
      <c r="B95" s="58"/>
      <c r="C95" s="13" t="s">
        <v>24</v>
      </c>
      <c r="D95" s="14"/>
      <c r="E95" s="15"/>
      <c r="F95" s="16"/>
      <c r="G95" s="17">
        <f t="shared" si="34"/>
        <v>2312.355</v>
      </c>
      <c r="H95" s="18">
        <v>0</v>
      </c>
      <c r="I95" s="17">
        <f t="shared" si="36"/>
        <v>0</v>
      </c>
      <c r="J95" s="17">
        <f t="shared" si="45"/>
        <v>2312.355</v>
      </c>
      <c r="K95" s="17">
        <v>0</v>
      </c>
      <c r="L95" s="17">
        <v>0</v>
      </c>
      <c r="M95" s="17">
        <v>0</v>
      </c>
      <c r="N95" s="17">
        <v>2312.355</v>
      </c>
      <c r="O95" s="17">
        <v>0</v>
      </c>
      <c r="P95" s="17">
        <v>0</v>
      </c>
      <c r="Q95" s="17">
        <f t="shared" si="47"/>
        <v>0</v>
      </c>
    </row>
    <row r="96" spans="2:238" s="5" customFormat="1" ht="24" customHeight="1">
      <c r="B96" s="57">
        <v>31</v>
      </c>
      <c r="C96" s="7" t="s">
        <v>79</v>
      </c>
      <c r="D96" s="8" t="s">
        <v>77</v>
      </c>
      <c r="E96" s="9" t="s">
        <v>80</v>
      </c>
      <c r="F96" s="10">
        <f>G96</f>
        <v>6604</v>
      </c>
      <c r="G96" s="11">
        <f t="shared" si="34"/>
        <v>6604</v>
      </c>
      <c r="H96" s="35">
        <f>H97</f>
        <v>1004</v>
      </c>
      <c r="I96" s="22">
        <f t="shared" si="36"/>
        <v>1004</v>
      </c>
      <c r="J96" s="11">
        <f t="shared" si="45"/>
        <v>5600</v>
      </c>
      <c r="K96" s="11">
        <f t="shared" ref="K96:P96" si="48">SUM(K97:K97)</f>
        <v>0</v>
      </c>
      <c r="L96" s="11">
        <f t="shared" si="48"/>
        <v>0</v>
      </c>
      <c r="M96" s="11">
        <f t="shared" si="48"/>
        <v>0</v>
      </c>
      <c r="N96" s="11">
        <f t="shared" si="48"/>
        <v>5600</v>
      </c>
      <c r="O96" s="11">
        <f t="shared" si="48"/>
        <v>0</v>
      </c>
      <c r="P96" s="11">
        <f t="shared" si="48"/>
        <v>0</v>
      </c>
      <c r="Q96" s="11">
        <f t="shared" si="47"/>
        <v>0</v>
      </c>
    </row>
    <row r="97" spans="2:17" s="5" customFormat="1" ht="12.6" customHeight="1">
      <c r="B97" s="58"/>
      <c r="C97" s="13" t="s">
        <v>23</v>
      </c>
      <c r="D97" s="14"/>
      <c r="E97" s="15"/>
      <c r="F97" s="16"/>
      <c r="G97" s="17">
        <f t="shared" si="34"/>
        <v>6604</v>
      </c>
      <c r="H97" s="18">
        <v>1004</v>
      </c>
      <c r="I97" s="47">
        <f t="shared" si="36"/>
        <v>1004</v>
      </c>
      <c r="J97" s="17">
        <f t="shared" si="45"/>
        <v>5600</v>
      </c>
      <c r="K97" s="17">
        <v>0</v>
      </c>
      <c r="L97" s="17">
        <v>0</v>
      </c>
      <c r="M97" s="17">
        <v>0</v>
      </c>
      <c r="N97" s="17">
        <v>5600</v>
      </c>
      <c r="O97" s="17">
        <v>0</v>
      </c>
      <c r="P97" s="17">
        <v>0</v>
      </c>
      <c r="Q97" s="17">
        <f t="shared" si="47"/>
        <v>0</v>
      </c>
    </row>
    <row r="98" spans="2:17" s="5" customFormat="1" ht="24" customHeight="1">
      <c r="B98" s="57">
        <v>32</v>
      </c>
      <c r="C98" s="20" t="s">
        <v>83</v>
      </c>
      <c r="D98" s="8" t="s">
        <v>34</v>
      </c>
      <c r="E98" s="29">
        <v>2017</v>
      </c>
      <c r="F98" s="10">
        <f>G98-G100</f>
        <v>10650</v>
      </c>
      <c r="G98" s="11">
        <f t="shared" si="34"/>
        <v>13750</v>
      </c>
      <c r="H98" s="35">
        <f>H99+H100</f>
        <v>0</v>
      </c>
      <c r="I98" s="22">
        <f t="shared" si="36"/>
        <v>0</v>
      </c>
      <c r="J98" s="11">
        <f t="shared" si="45"/>
        <v>13750</v>
      </c>
      <c r="K98" s="11">
        <f t="shared" ref="K98:P98" si="49">SUM(K99:K100)</f>
        <v>0</v>
      </c>
      <c r="L98" s="11">
        <f t="shared" si="49"/>
        <v>0</v>
      </c>
      <c r="M98" s="11">
        <f t="shared" si="49"/>
        <v>0</v>
      </c>
      <c r="N98" s="11">
        <f t="shared" si="49"/>
        <v>13750</v>
      </c>
      <c r="O98" s="11">
        <f t="shared" si="49"/>
        <v>0</v>
      </c>
      <c r="P98" s="11">
        <f t="shared" si="49"/>
        <v>0</v>
      </c>
      <c r="Q98" s="11">
        <f t="shared" si="47"/>
        <v>0</v>
      </c>
    </row>
    <row r="99" spans="2:17" s="5" customFormat="1" ht="12.6" customHeight="1">
      <c r="B99" s="58"/>
      <c r="C99" s="13" t="s">
        <v>23</v>
      </c>
      <c r="D99" s="14"/>
      <c r="E99" s="15"/>
      <c r="F99" s="16"/>
      <c r="G99" s="17">
        <f t="shared" si="34"/>
        <v>10650</v>
      </c>
      <c r="H99" s="18">
        <v>0</v>
      </c>
      <c r="I99" s="17">
        <f t="shared" si="36"/>
        <v>0</v>
      </c>
      <c r="J99" s="17">
        <f t="shared" si="45"/>
        <v>10650</v>
      </c>
      <c r="K99" s="17">
        <v>0</v>
      </c>
      <c r="L99" s="17">
        <v>0</v>
      </c>
      <c r="M99" s="17">
        <v>0</v>
      </c>
      <c r="N99" s="17">
        <f>11300-650</f>
        <v>10650</v>
      </c>
      <c r="O99" s="17">
        <v>0</v>
      </c>
      <c r="P99" s="17">
        <v>0</v>
      </c>
      <c r="Q99" s="17">
        <f t="shared" si="47"/>
        <v>0</v>
      </c>
    </row>
    <row r="100" spans="2:17" s="5" customFormat="1" ht="12.6" customHeight="1">
      <c r="B100" s="58"/>
      <c r="C100" s="13" t="s">
        <v>24</v>
      </c>
      <c r="D100" s="14"/>
      <c r="E100" s="15"/>
      <c r="F100" s="16"/>
      <c r="G100" s="17">
        <f t="shared" si="34"/>
        <v>3100</v>
      </c>
      <c r="H100" s="18">
        <v>0</v>
      </c>
      <c r="I100" s="17">
        <f t="shared" si="36"/>
        <v>0</v>
      </c>
      <c r="J100" s="17">
        <f t="shared" si="45"/>
        <v>3100</v>
      </c>
      <c r="K100" s="17">
        <v>0</v>
      </c>
      <c r="L100" s="17">
        <v>0</v>
      </c>
      <c r="M100" s="17">
        <v>0</v>
      </c>
      <c r="N100" s="17">
        <v>3100</v>
      </c>
      <c r="O100" s="17">
        <v>0</v>
      </c>
      <c r="P100" s="17">
        <v>0</v>
      </c>
      <c r="Q100" s="17">
        <f t="shared" si="47"/>
        <v>0</v>
      </c>
    </row>
    <row r="101" spans="2:17" s="5" customFormat="1" ht="24" customHeight="1">
      <c r="B101" s="57">
        <v>33</v>
      </c>
      <c r="C101" s="7" t="s">
        <v>75</v>
      </c>
      <c r="D101" s="8" t="s">
        <v>34</v>
      </c>
      <c r="E101" s="9" t="s">
        <v>56</v>
      </c>
      <c r="F101" s="10">
        <f>G101-G103</f>
        <v>9683</v>
      </c>
      <c r="G101" s="11">
        <f t="shared" si="34"/>
        <v>18793</v>
      </c>
      <c r="H101" s="35">
        <f>H102+H103</f>
        <v>823</v>
      </c>
      <c r="I101" s="22">
        <f t="shared" si="36"/>
        <v>823</v>
      </c>
      <c r="J101" s="11">
        <f t="shared" ref="J101:J106" si="50">SUM(L101:P101)</f>
        <v>17970</v>
      </c>
      <c r="K101" s="11">
        <f>SUM(K102:K103)</f>
        <v>0</v>
      </c>
      <c r="L101" s="11">
        <f>SUM(L102:L103)</f>
        <v>0</v>
      </c>
      <c r="M101" s="11">
        <f>SUM(M102:M103)</f>
        <v>0</v>
      </c>
      <c r="N101" s="11">
        <f>SUM(N102:N103)</f>
        <v>0</v>
      </c>
      <c r="O101" s="11">
        <f>SUM(O102:O103)</f>
        <v>17970</v>
      </c>
      <c r="P101" s="11">
        <f>P102+P103</f>
        <v>0</v>
      </c>
      <c r="Q101" s="11">
        <f>Q102+Q103</f>
        <v>0</v>
      </c>
    </row>
    <row r="102" spans="2:17" s="5" customFormat="1" ht="12.6" customHeight="1">
      <c r="B102" s="58"/>
      <c r="C102" s="13" t="s">
        <v>23</v>
      </c>
      <c r="D102" s="14"/>
      <c r="E102" s="15"/>
      <c r="F102" s="16"/>
      <c r="G102" s="17">
        <f t="shared" si="34"/>
        <v>9683</v>
      </c>
      <c r="H102" s="17">
        <v>613</v>
      </c>
      <c r="I102" s="17">
        <f t="shared" si="36"/>
        <v>613</v>
      </c>
      <c r="J102" s="17">
        <f t="shared" si="50"/>
        <v>9070</v>
      </c>
      <c r="K102" s="17">
        <v>0</v>
      </c>
      <c r="L102" s="17">
        <v>0</v>
      </c>
      <c r="M102" s="17">
        <v>0</v>
      </c>
      <c r="N102" s="32">
        <v>0</v>
      </c>
      <c r="O102" s="32">
        <f>9500-430</f>
        <v>9070</v>
      </c>
      <c r="P102" s="17">
        <v>0</v>
      </c>
      <c r="Q102" s="17">
        <v>0</v>
      </c>
    </row>
    <row r="103" spans="2:17" s="5" customFormat="1" ht="12.6" customHeight="1">
      <c r="B103" s="58"/>
      <c r="C103" s="13" t="s">
        <v>24</v>
      </c>
      <c r="D103" s="14"/>
      <c r="E103" s="15"/>
      <c r="F103" s="16"/>
      <c r="G103" s="17">
        <f t="shared" ref="G103:G106" si="51">H103+J103+K103+Q103</f>
        <v>9110</v>
      </c>
      <c r="H103" s="17">
        <v>210</v>
      </c>
      <c r="I103" s="17">
        <f t="shared" si="36"/>
        <v>210</v>
      </c>
      <c r="J103" s="17">
        <f t="shared" si="50"/>
        <v>8900</v>
      </c>
      <c r="K103" s="17">
        <v>0</v>
      </c>
      <c r="L103" s="17">
        <v>0</v>
      </c>
      <c r="M103" s="17">
        <v>0</v>
      </c>
      <c r="N103" s="32">
        <v>0</v>
      </c>
      <c r="O103" s="32">
        <v>8900</v>
      </c>
      <c r="P103" s="17">
        <v>0</v>
      </c>
      <c r="Q103" s="17">
        <v>0</v>
      </c>
    </row>
    <row r="104" spans="2:17" s="5" customFormat="1" ht="24" customHeight="1">
      <c r="B104" s="57">
        <v>34</v>
      </c>
      <c r="C104" s="7" t="s">
        <v>81</v>
      </c>
      <c r="D104" s="8" t="s">
        <v>68</v>
      </c>
      <c r="E104" s="9" t="s">
        <v>56</v>
      </c>
      <c r="F104" s="10">
        <f>G104-G106</f>
        <v>14904</v>
      </c>
      <c r="G104" s="11">
        <f t="shared" si="51"/>
        <v>18904</v>
      </c>
      <c r="H104" s="35">
        <f>H105+H106</f>
        <v>789</v>
      </c>
      <c r="I104" s="22">
        <f t="shared" si="36"/>
        <v>789</v>
      </c>
      <c r="J104" s="11">
        <f t="shared" si="50"/>
        <v>18115</v>
      </c>
      <c r="K104" s="11">
        <f t="shared" ref="K104:O104" si="52">SUM(K105:K106)</f>
        <v>0</v>
      </c>
      <c r="L104" s="35">
        <f t="shared" si="52"/>
        <v>0</v>
      </c>
      <c r="M104" s="11">
        <f t="shared" si="52"/>
        <v>0</v>
      </c>
      <c r="N104" s="11">
        <f t="shared" si="52"/>
        <v>0</v>
      </c>
      <c r="O104" s="11">
        <f t="shared" si="52"/>
        <v>18115</v>
      </c>
      <c r="P104" s="11">
        <f>P105+P106</f>
        <v>0</v>
      </c>
      <c r="Q104" s="11">
        <f>Q105+Q106</f>
        <v>0</v>
      </c>
    </row>
    <row r="105" spans="2:17" s="5" customFormat="1" ht="12.6" customHeight="1">
      <c r="B105" s="58"/>
      <c r="C105" s="13" t="s">
        <v>23</v>
      </c>
      <c r="D105" s="14"/>
      <c r="E105" s="15"/>
      <c r="F105" s="16"/>
      <c r="G105" s="17">
        <f t="shared" si="51"/>
        <v>14904</v>
      </c>
      <c r="H105" s="18">
        <v>789</v>
      </c>
      <c r="I105" s="17">
        <f t="shared" si="36"/>
        <v>789</v>
      </c>
      <c r="J105" s="17">
        <f t="shared" si="50"/>
        <v>14115</v>
      </c>
      <c r="K105" s="17">
        <v>0</v>
      </c>
      <c r="L105" s="17">
        <v>0</v>
      </c>
      <c r="M105" s="17">
        <v>0</v>
      </c>
      <c r="N105" s="32">
        <v>0</v>
      </c>
      <c r="O105" s="32">
        <f>15150-1035</f>
        <v>14115</v>
      </c>
      <c r="P105" s="17">
        <v>0</v>
      </c>
      <c r="Q105" s="17">
        <v>0</v>
      </c>
    </row>
    <row r="106" spans="2:17" s="5" customFormat="1" ht="12.6" customHeight="1">
      <c r="B106" s="58"/>
      <c r="C106" s="13" t="s">
        <v>24</v>
      </c>
      <c r="D106" s="14"/>
      <c r="E106" s="15"/>
      <c r="F106" s="16"/>
      <c r="G106" s="17">
        <f t="shared" si="51"/>
        <v>4000</v>
      </c>
      <c r="H106" s="18">
        <v>0</v>
      </c>
      <c r="I106" s="17">
        <f t="shared" si="36"/>
        <v>0</v>
      </c>
      <c r="J106" s="17">
        <f t="shared" si="50"/>
        <v>4000</v>
      </c>
      <c r="K106" s="17">
        <v>0</v>
      </c>
      <c r="L106" s="17">
        <v>0</v>
      </c>
      <c r="M106" s="17">
        <v>0</v>
      </c>
      <c r="N106" s="32">
        <v>0</v>
      </c>
      <c r="O106" s="32">
        <v>4000</v>
      </c>
      <c r="P106" s="17">
        <v>0</v>
      </c>
      <c r="Q106" s="17">
        <v>0</v>
      </c>
    </row>
    <row r="107" spans="2:17" s="4" customFormat="1" ht="17.25" customHeight="1">
      <c r="B107" s="67" t="s">
        <v>268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9"/>
    </row>
    <row r="108" spans="2:17" s="5" customFormat="1" ht="22.2" customHeight="1">
      <c r="B108" s="57">
        <v>35</v>
      </c>
      <c r="C108" s="7" t="s">
        <v>89</v>
      </c>
      <c r="D108" s="8" t="s">
        <v>241</v>
      </c>
      <c r="E108" s="9" t="s">
        <v>90</v>
      </c>
      <c r="F108" s="10">
        <f>G108</f>
        <v>131651.97999999998</v>
      </c>
      <c r="G108" s="11">
        <f t="shared" ref="G108:G137" si="53">H108+J108+K108+Q108</f>
        <v>131651.97999999998</v>
      </c>
      <c r="H108" s="35">
        <f>H109</f>
        <v>69500.98</v>
      </c>
      <c r="I108" s="22">
        <f t="shared" ref="I108:I117" si="54">H108+K108</f>
        <v>76651.98</v>
      </c>
      <c r="J108" s="11">
        <f t="shared" ref="J108:J135" si="55">SUM(L108:P108)</f>
        <v>55000</v>
      </c>
      <c r="K108" s="11">
        <f t="shared" ref="K108:Q108" si="56">SUM(K109:K109)</f>
        <v>7151</v>
      </c>
      <c r="L108" s="11">
        <f t="shared" si="56"/>
        <v>5000</v>
      </c>
      <c r="M108" s="11">
        <f t="shared" si="56"/>
        <v>10000</v>
      </c>
      <c r="N108" s="11">
        <f t="shared" si="56"/>
        <v>10000</v>
      </c>
      <c r="O108" s="11">
        <f t="shared" si="56"/>
        <v>15000</v>
      </c>
      <c r="P108" s="11">
        <f t="shared" si="56"/>
        <v>15000</v>
      </c>
      <c r="Q108" s="11">
        <f t="shared" si="56"/>
        <v>0</v>
      </c>
    </row>
    <row r="109" spans="2:17" s="5" customFormat="1" ht="12.6" customHeight="1">
      <c r="B109" s="60"/>
      <c r="C109" s="13" t="s">
        <v>23</v>
      </c>
      <c r="D109" s="14"/>
      <c r="E109" s="15"/>
      <c r="F109" s="16"/>
      <c r="G109" s="17">
        <f t="shared" si="53"/>
        <v>131651.97999999998</v>
      </c>
      <c r="H109" s="18">
        <v>69500.98</v>
      </c>
      <c r="I109" s="17">
        <f t="shared" si="54"/>
        <v>76651.98</v>
      </c>
      <c r="J109" s="17">
        <f t="shared" si="55"/>
        <v>55000</v>
      </c>
      <c r="K109" s="17">
        <v>7151</v>
      </c>
      <c r="L109" s="17">
        <v>5000</v>
      </c>
      <c r="M109" s="17">
        <v>10000</v>
      </c>
      <c r="N109" s="17">
        <v>10000</v>
      </c>
      <c r="O109" s="17">
        <v>15000</v>
      </c>
      <c r="P109" s="17">
        <v>15000</v>
      </c>
      <c r="Q109" s="17">
        <v>0</v>
      </c>
    </row>
    <row r="110" spans="2:17" s="4" customFormat="1" ht="31.95" customHeight="1">
      <c r="B110" s="57">
        <v>36</v>
      </c>
      <c r="C110" s="20" t="s">
        <v>91</v>
      </c>
      <c r="D110" s="8" t="s">
        <v>276</v>
      </c>
      <c r="E110" s="9" t="s">
        <v>92</v>
      </c>
      <c r="F110" s="10">
        <f>G110-G112-G113-G114</f>
        <v>69960.307999999961</v>
      </c>
      <c r="G110" s="11">
        <f t="shared" si="53"/>
        <v>952587.30799999996</v>
      </c>
      <c r="H110" s="35">
        <f>H111+H112+H113+H114</f>
        <v>789229.45699999994</v>
      </c>
      <c r="I110" s="22">
        <f t="shared" si="54"/>
        <v>918730.11699999997</v>
      </c>
      <c r="J110" s="11">
        <f t="shared" si="55"/>
        <v>33857.190999999999</v>
      </c>
      <c r="K110" s="11">
        <f t="shared" ref="K110:Q110" si="57">SUM(K111:K114)</f>
        <v>129500.66</v>
      </c>
      <c r="L110" s="11">
        <f>SUM(L111:L114)</f>
        <v>5560.8909999999996</v>
      </c>
      <c r="M110" s="11">
        <f t="shared" si="57"/>
        <v>5171.3</v>
      </c>
      <c r="N110" s="11">
        <f t="shared" si="57"/>
        <v>8450</v>
      </c>
      <c r="O110" s="11">
        <f t="shared" si="57"/>
        <v>11675</v>
      </c>
      <c r="P110" s="11">
        <f t="shared" si="57"/>
        <v>3000</v>
      </c>
      <c r="Q110" s="11">
        <f t="shared" si="57"/>
        <v>0</v>
      </c>
    </row>
    <row r="111" spans="2:17" s="4" customFormat="1" ht="12.6" customHeight="1">
      <c r="B111" s="60"/>
      <c r="C111" s="13" t="s">
        <v>23</v>
      </c>
      <c r="D111" s="14"/>
      <c r="E111" s="15"/>
      <c r="F111" s="16"/>
      <c r="G111" s="17">
        <f t="shared" si="53"/>
        <v>69960.308000000005</v>
      </c>
      <c r="H111" s="18">
        <v>27252.456999999999</v>
      </c>
      <c r="I111" s="17">
        <f t="shared" si="54"/>
        <v>36103.116999999998</v>
      </c>
      <c r="J111" s="17">
        <f t="shared" si="55"/>
        <v>33857.190999999999</v>
      </c>
      <c r="K111" s="17">
        <v>8850.66</v>
      </c>
      <c r="L111" s="17">
        <v>5560.8909999999996</v>
      </c>
      <c r="M111" s="32">
        <f>4930-150+391.3</f>
        <v>5171.3</v>
      </c>
      <c r="N111" s="17">
        <f>8500-50</f>
        <v>8450</v>
      </c>
      <c r="O111" s="17">
        <f>11850-175</f>
        <v>11675</v>
      </c>
      <c r="P111" s="17">
        <v>3000</v>
      </c>
      <c r="Q111" s="17">
        <v>0</v>
      </c>
    </row>
    <row r="112" spans="2:17" s="4" customFormat="1" ht="12.6" customHeight="1">
      <c r="B112" s="60"/>
      <c r="C112" s="13" t="s">
        <v>24</v>
      </c>
      <c r="D112" s="14"/>
      <c r="E112" s="15"/>
      <c r="F112" s="16"/>
      <c r="G112" s="17">
        <f t="shared" si="53"/>
        <v>2809</v>
      </c>
      <c r="H112" s="18">
        <v>2809</v>
      </c>
      <c r="I112" s="17">
        <f t="shared" si="54"/>
        <v>2809</v>
      </c>
      <c r="J112" s="17">
        <f t="shared" si="55"/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f t="shared" ref="Q112:Q114" si="58">SUM(O112:O112)</f>
        <v>0</v>
      </c>
    </row>
    <row r="113" spans="2:17" s="4" customFormat="1" ht="12.6" customHeight="1">
      <c r="B113" s="60"/>
      <c r="C113" s="13" t="s">
        <v>246</v>
      </c>
      <c r="D113" s="14"/>
      <c r="E113" s="15"/>
      <c r="F113" s="16"/>
      <c r="G113" s="17">
        <f t="shared" si="53"/>
        <v>13620</v>
      </c>
      <c r="H113" s="18">
        <v>8620</v>
      </c>
      <c r="I113" s="17">
        <f t="shared" si="54"/>
        <v>13620</v>
      </c>
      <c r="J113" s="17">
        <f t="shared" si="55"/>
        <v>0</v>
      </c>
      <c r="K113" s="17">
        <v>5000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f t="shared" si="58"/>
        <v>0</v>
      </c>
    </row>
    <row r="114" spans="2:17" s="4" customFormat="1" ht="12.6" customHeight="1">
      <c r="B114" s="60"/>
      <c r="C114" s="13" t="s">
        <v>93</v>
      </c>
      <c r="D114" s="14"/>
      <c r="E114" s="15"/>
      <c r="F114" s="16"/>
      <c r="G114" s="17">
        <f t="shared" si="53"/>
        <v>866198</v>
      </c>
      <c r="H114" s="18">
        <v>750548</v>
      </c>
      <c r="I114" s="17">
        <f t="shared" si="54"/>
        <v>866198</v>
      </c>
      <c r="J114" s="17">
        <f t="shared" si="55"/>
        <v>0</v>
      </c>
      <c r="K114" s="17">
        <v>115650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f t="shared" si="58"/>
        <v>0</v>
      </c>
    </row>
    <row r="115" spans="2:17" s="5" customFormat="1" ht="30.6">
      <c r="B115" s="57">
        <v>37</v>
      </c>
      <c r="C115" s="20" t="s">
        <v>94</v>
      </c>
      <c r="D115" s="27" t="s">
        <v>224</v>
      </c>
      <c r="E115" s="9" t="s">
        <v>71</v>
      </c>
      <c r="F115" s="10">
        <f>G115</f>
        <v>184031.67</v>
      </c>
      <c r="G115" s="11">
        <f t="shared" si="53"/>
        <v>184031.67</v>
      </c>
      <c r="H115" s="35">
        <f>H116+H117</f>
        <v>53438.323000000004</v>
      </c>
      <c r="I115" s="22">
        <f t="shared" si="54"/>
        <v>59884.263000000006</v>
      </c>
      <c r="J115" s="11">
        <f>SUM(L115:P115)</f>
        <v>124147.40700000001</v>
      </c>
      <c r="K115" s="11">
        <f>SUM(K116:K118)</f>
        <v>6445.94</v>
      </c>
      <c r="L115" s="35">
        <f>SUM(L116:L118)</f>
        <v>18112.87</v>
      </c>
      <c r="M115" s="11">
        <f>SUM(M116:M118)</f>
        <v>28034.537</v>
      </c>
      <c r="N115" s="11">
        <f t="shared" ref="N115:Q115" si="59">SUM(N116:N118)</f>
        <v>28000</v>
      </c>
      <c r="O115" s="11">
        <f t="shared" si="59"/>
        <v>25000</v>
      </c>
      <c r="P115" s="11">
        <f t="shared" si="59"/>
        <v>25000</v>
      </c>
      <c r="Q115" s="11">
        <f t="shared" si="59"/>
        <v>0</v>
      </c>
    </row>
    <row r="116" spans="2:17" s="5" customFormat="1" ht="12.6" customHeight="1">
      <c r="B116" s="60"/>
      <c r="C116" s="13" t="s">
        <v>23</v>
      </c>
      <c r="D116" s="15"/>
      <c r="E116" s="15"/>
      <c r="F116" s="16"/>
      <c r="G116" s="17">
        <f t="shared" si="53"/>
        <v>143205.18800000002</v>
      </c>
      <c r="H116" s="17">
        <v>26285.098000000002</v>
      </c>
      <c r="I116" s="17">
        <f t="shared" si="54"/>
        <v>31939.445</v>
      </c>
      <c r="J116" s="17">
        <f t="shared" si="55"/>
        <v>111265.743</v>
      </c>
      <c r="K116" s="17">
        <v>5654.3469999999998</v>
      </c>
      <c r="L116" s="17">
        <v>12592.743</v>
      </c>
      <c r="M116" s="17">
        <f>20300+373</f>
        <v>20673</v>
      </c>
      <c r="N116" s="17">
        <v>28000</v>
      </c>
      <c r="O116" s="17">
        <v>25000</v>
      </c>
      <c r="P116" s="17">
        <v>25000</v>
      </c>
      <c r="Q116" s="17">
        <v>0</v>
      </c>
    </row>
    <row r="117" spans="2:17" s="5" customFormat="1" ht="12.6" customHeight="1">
      <c r="B117" s="60"/>
      <c r="C117" s="13" t="s">
        <v>36</v>
      </c>
      <c r="D117" s="15"/>
      <c r="E117" s="15"/>
      <c r="F117" s="16"/>
      <c r="G117" s="17">
        <f t="shared" si="53"/>
        <v>35782.125999999997</v>
      </c>
      <c r="H117" s="17">
        <v>27153.224999999999</v>
      </c>
      <c r="I117" s="17">
        <f t="shared" si="54"/>
        <v>27944.817999999999</v>
      </c>
      <c r="J117" s="17">
        <f t="shared" si="55"/>
        <v>7837.308</v>
      </c>
      <c r="K117" s="17">
        <v>791.59299999999996</v>
      </c>
      <c r="L117" s="17">
        <v>3037.308</v>
      </c>
      <c r="M117" s="17">
        <v>4800</v>
      </c>
      <c r="N117" s="17">
        <v>0</v>
      </c>
      <c r="O117" s="17">
        <v>0</v>
      </c>
      <c r="P117" s="17"/>
      <c r="Q117" s="17">
        <f>SUM(O117:O117)</f>
        <v>0</v>
      </c>
    </row>
    <row r="118" spans="2:17" s="5" customFormat="1" ht="10.95" customHeight="1">
      <c r="B118" s="60"/>
      <c r="C118" s="13" t="s">
        <v>159</v>
      </c>
      <c r="D118" s="15"/>
      <c r="E118" s="15"/>
      <c r="F118" s="16"/>
      <c r="G118" s="17">
        <f t="shared" si="53"/>
        <v>5044.3559999999998</v>
      </c>
      <c r="H118" s="17">
        <v>0</v>
      </c>
      <c r="I118" s="17">
        <v>0</v>
      </c>
      <c r="J118" s="17">
        <f t="shared" si="55"/>
        <v>5044.3559999999998</v>
      </c>
      <c r="K118" s="17">
        <v>0</v>
      </c>
      <c r="L118" s="17">
        <v>2482.819</v>
      </c>
      <c r="M118" s="17">
        <v>2561.5369999999998</v>
      </c>
      <c r="N118" s="17">
        <v>0</v>
      </c>
      <c r="O118" s="17">
        <v>0</v>
      </c>
      <c r="P118" s="17">
        <v>0</v>
      </c>
      <c r="Q118" s="17">
        <v>0</v>
      </c>
    </row>
    <row r="119" spans="2:17" s="5" customFormat="1" ht="31.2" customHeight="1">
      <c r="B119" s="57">
        <v>38</v>
      </c>
      <c r="C119" s="20" t="s">
        <v>95</v>
      </c>
      <c r="D119" s="8" t="s">
        <v>96</v>
      </c>
      <c r="E119" s="9" t="s">
        <v>97</v>
      </c>
      <c r="F119" s="10">
        <f>G120</f>
        <v>70571.191000000006</v>
      </c>
      <c r="G119" s="11">
        <f t="shared" si="53"/>
        <v>77792.634999999995</v>
      </c>
      <c r="H119" s="35">
        <f>H120+H121</f>
        <v>167.262</v>
      </c>
      <c r="I119" s="22">
        <f t="shared" ref="I119:I137" si="60">H119+K119</f>
        <v>9220.8790000000008</v>
      </c>
      <c r="J119" s="11">
        <f t="shared" si="55"/>
        <v>68571.755999999994</v>
      </c>
      <c r="K119" s="11">
        <f t="shared" ref="K119:Q119" si="61">SUM(K120:K121)</f>
        <v>9053.6170000000002</v>
      </c>
      <c r="L119" s="11">
        <f t="shared" si="61"/>
        <v>13309.986000000001</v>
      </c>
      <c r="M119" s="11">
        <f t="shared" si="61"/>
        <v>25191.77</v>
      </c>
      <c r="N119" s="11">
        <f t="shared" si="61"/>
        <v>26770</v>
      </c>
      <c r="O119" s="11">
        <f t="shared" si="61"/>
        <v>3300</v>
      </c>
      <c r="P119" s="11">
        <f t="shared" si="61"/>
        <v>0</v>
      </c>
      <c r="Q119" s="11">
        <f t="shared" si="61"/>
        <v>0</v>
      </c>
    </row>
    <row r="120" spans="2:17" s="5" customFormat="1" ht="12.6" customHeight="1">
      <c r="B120" s="60"/>
      <c r="C120" s="13" t="s">
        <v>23</v>
      </c>
      <c r="D120" s="14"/>
      <c r="E120" s="15"/>
      <c r="F120" s="16"/>
      <c r="G120" s="17">
        <f t="shared" si="53"/>
        <v>70571.191000000006</v>
      </c>
      <c r="H120" s="18">
        <v>167.262</v>
      </c>
      <c r="I120" s="17">
        <f t="shared" si="60"/>
        <v>7057.1239999999998</v>
      </c>
      <c r="J120" s="17">
        <f t="shared" si="55"/>
        <v>63514.067000000003</v>
      </c>
      <c r="K120" s="17">
        <v>6889.8620000000001</v>
      </c>
      <c r="L120" s="17">
        <v>12122.297</v>
      </c>
      <c r="M120" s="49">
        <v>24191.77</v>
      </c>
      <c r="N120" s="49">
        <f>25000+800</f>
        <v>25800</v>
      </c>
      <c r="O120" s="49">
        <v>1400</v>
      </c>
      <c r="P120" s="17">
        <v>0</v>
      </c>
      <c r="Q120" s="17">
        <v>0</v>
      </c>
    </row>
    <row r="121" spans="2:17" s="5" customFormat="1" ht="12.6" customHeight="1">
      <c r="B121" s="60"/>
      <c r="C121" s="13" t="s">
        <v>98</v>
      </c>
      <c r="D121" s="14"/>
      <c r="E121" s="15"/>
      <c r="F121" s="16"/>
      <c r="G121" s="17">
        <f t="shared" si="53"/>
        <v>7221.4440000000004</v>
      </c>
      <c r="H121" s="18">
        <v>0</v>
      </c>
      <c r="I121" s="17">
        <f t="shared" si="60"/>
        <v>2163.7550000000001</v>
      </c>
      <c r="J121" s="17">
        <f t="shared" si="55"/>
        <v>5057.6890000000003</v>
      </c>
      <c r="K121" s="17">
        <v>2163.7550000000001</v>
      </c>
      <c r="L121" s="17">
        <v>1187.6890000000001</v>
      </c>
      <c r="M121" s="49">
        <v>1000</v>
      </c>
      <c r="N121" s="49">
        <v>970</v>
      </c>
      <c r="O121" s="49">
        <v>1900</v>
      </c>
      <c r="P121" s="17">
        <v>0</v>
      </c>
      <c r="Q121" s="17">
        <v>0</v>
      </c>
    </row>
    <row r="122" spans="2:17" s="5" customFormat="1" ht="33" customHeight="1">
      <c r="B122" s="57">
        <v>39</v>
      </c>
      <c r="C122" s="20" t="s">
        <v>108</v>
      </c>
      <c r="D122" s="8" t="s">
        <v>242</v>
      </c>
      <c r="E122" s="9" t="s">
        <v>109</v>
      </c>
      <c r="F122" s="10">
        <f>G122</f>
        <v>254.22200000000001</v>
      </c>
      <c r="G122" s="11">
        <f t="shared" si="53"/>
        <v>254.22200000000001</v>
      </c>
      <c r="H122" s="35">
        <f>H123+H124</f>
        <v>136.60400000000001</v>
      </c>
      <c r="I122" s="22">
        <f t="shared" si="60"/>
        <v>224.22200000000001</v>
      </c>
      <c r="J122" s="11">
        <f t="shared" ref="J122:J131" si="62">SUM(L122:P122)</f>
        <v>30</v>
      </c>
      <c r="K122" s="11">
        <f t="shared" ref="K122:Q122" si="63">SUM(K123:K124)</f>
        <v>87.617999999999995</v>
      </c>
      <c r="L122" s="11">
        <f t="shared" si="63"/>
        <v>30</v>
      </c>
      <c r="M122" s="11">
        <f t="shared" si="63"/>
        <v>0</v>
      </c>
      <c r="N122" s="11">
        <f t="shared" si="63"/>
        <v>0</v>
      </c>
      <c r="O122" s="11">
        <f t="shared" si="63"/>
        <v>0</v>
      </c>
      <c r="P122" s="11">
        <f t="shared" si="63"/>
        <v>0</v>
      </c>
      <c r="Q122" s="11">
        <f t="shared" si="63"/>
        <v>0</v>
      </c>
    </row>
    <row r="123" spans="2:17" s="5" customFormat="1" ht="11.4" customHeight="1">
      <c r="B123" s="60"/>
      <c r="C123" s="13" t="s">
        <v>23</v>
      </c>
      <c r="D123" s="14"/>
      <c r="E123" s="15"/>
      <c r="F123" s="16"/>
      <c r="G123" s="17">
        <f t="shared" si="53"/>
        <v>124.22199999999999</v>
      </c>
      <c r="H123" s="18">
        <v>6.6040000000000001</v>
      </c>
      <c r="I123" s="17">
        <f t="shared" si="60"/>
        <v>94.221999999999994</v>
      </c>
      <c r="J123" s="17">
        <f t="shared" si="62"/>
        <v>30</v>
      </c>
      <c r="K123" s="17">
        <v>87.617999999999995</v>
      </c>
      <c r="L123" s="17">
        <v>30</v>
      </c>
      <c r="M123" s="17">
        <v>0</v>
      </c>
      <c r="N123" s="17">
        <v>0</v>
      </c>
      <c r="O123" s="17">
        <v>0</v>
      </c>
      <c r="P123" s="17">
        <v>0</v>
      </c>
      <c r="Q123" s="17">
        <f>SUM(O123:O123)</f>
        <v>0</v>
      </c>
    </row>
    <row r="124" spans="2:17" s="5" customFormat="1" ht="11.4" customHeight="1">
      <c r="B124" s="60"/>
      <c r="C124" s="13" t="s">
        <v>247</v>
      </c>
      <c r="D124" s="14"/>
      <c r="E124" s="15"/>
      <c r="F124" s="16"/>
      <c r="G124" s="17">
        <f t="shared" si="53"/>
        <v>130</v>
      </c>
      <c r="H124" s="18">
        <v>130</v>
      </c>
      <c r="I124" s="17">
        <f t="shared" si="60"/>
        <v>130</v>
      </c>
      <c r="J124" s="17">
        <f t="shared" si="62"/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f>SUM(O124:O124)</f>
        <v>0</v>
      </c>
    </row>
    <row r="125" spans="2:17" s="5" customFormat="1" ht="22.95" customHeight="1">
      <c r="B125" s="61">
        <v>40</v>
      </c>
      <c r="C125" s="50" t="s">
        <v>103</v>
      </c>
      <c r="D125" s="8" t="s">
        <v>225</v>
      </c>
      <c r="E125" s="28" t="s">
        <v>105</v>
      </c>
      <c r="F125" s="10">
        <f>G125</f>
        <v>55000</v>
      </c>
      <c r="G125" s="11">
        <f t="shared" si="53"/>
        <v>55000</v>
      </c>
      <c r="H125" s="56">
        <f>H126+H127</f>
        <v>0</v>
      </c>
      <c r="I125" s="22">
        <f t="shared" si="60"/>
        <v>0</v>
      </c>
      <c r="J125" s="11">
        <f t="shared" si="62"/>
        <v>55000</v>
      </c>
      <c r="K125" s="11">
        <f>SUM(K126:K126)</f>
        <v>0</v>
      </c>
      <c r="L125" s="11">
        <f t="shared" ref="L125:Q125" si="64">SUM(L126:L127)</f>
        <v>2000</v>
      </c>
      <c r="M125" s="11">
        <f t="shared" si="64"/>
        <v>10000</v>
      </c>
      <c r="N125" s="11">
        <f t="shared" si="64"/>
        <v>20000</v>
      </c>
      <c r="O125" s="11">
        <f t="shared" si="64"/>
        <v>20000</v>
      </c>
      <c r="P125" s="11">
        <f t="shared" si="64"/>
        <v>3000</v>
      </c>
      <c r="Q125" s="11">
        <f t="shared" si="64"/>
        <v>0</v>
      </c>
    </row>
    <row r="126" spans="2:17" s="5" customFormat="1" ht="11.4" customHeight="1">
      <c r="B126" s="60"/>
      <c r="C126" s="13" t="s">
        <v>23</v>
      </c>
      <c r="D126" s="14"/>
      <c r="E126" s="15"/>
      <c r="F126" s="16"/>
      <c r="G126" s="17">
        <f t="shared" si="53"/>
        <v>18373.984000000004</v>
      </c>
      <c r="H126" s="18">
        <v>0</v>
      </c>
      <c r="I126" s="17">
        <f t="shared" si="60"/>
        <v>0</v>
      </c>
      <c r="J126" s="17">
        <f t="shared" si="62"/>
        <v>18373.984000000004</v>
      </c>
      <c r="K126" s="17">
        <v>0</v>
      </c>
      <c r="L126" s="17">
        <v>2000</v>
      </c>
      <c r="M126" s="17">
        <v>3089.431</v>
      </c>
      <c r="N126" s="17">
        <v>6178.8620000000001</v>
      </c>
      <c r="O126" s="17">
        <v>6178.8620000000001</v>
      </c>
      <c r="P126" s="17">
        <v>926.82899999999995</v>
      </c>
      <c r="Q126" s="17">
        <v>0</v>
      </c>
    </row>
    <row r="127" spans="2:17" s="5" customFormat="1" ht="11.4" customHeight="1">
      <c r="B127" s="60"/>
      <c r="C127" s="13" t="s">
        <v>36</v>
      </c>
      <c r="D127" s="14"/>
      <c r="E127" s="15"/>
      <c r="F127" s="16"/>
      <c r="G127" s="17">
        <f t="shared" si="53"/>
        <v>36626.016000000003</v>
      </c>
      <c r="H127" s="18">
        <v>0</v>
      </c>
      <c r="I127" s="17">
        <f t="shared" si="60"/>
        <v>0</v>
      </c>
      <c r="J127" s="17">
        <f t="shared" si="62"/>
        <v>36626.016000000003</v>
      </c>
      <c r="K127" s="17">
        <v>0</v>
      </c>
      <c r="L127" s="17">
        <v>0</v>
      </c>
      <c r="M127" s="17">
        <v>6910.5690000000004</v>
      </c>
      <c r="N127" s="17">
        <v>13821.138000000001</v>
      </c>
      <c r="O127" s="17">
        <v>13821.138000000001</v>
      </c>
      <c r="P127" s="17">
        <v>2073.1709999999998</v>
      </c>
      <c r="Q127" s="17">
        <v>0</v>
      </c>
    </row>
    <row r="128" spans="2:17" s="5" customFormat="1" ht="22.2" customHeight="1">
      <c r="B128" s="61">
        <v>41</v>
      </c>
      <c r="C128" s="50" t="s">
        <v>106</v>
      </c>
      <c r="D128" s="8" t="s">
        <v>226</v>
      </c>
      <c r="E128" s="28" t="s">
        <v>43</v>
      </c>
      <c r="F128" s="10">
        <f>G129+G130</f>
        <v>3800</v>
      </c>
      <c r="G128" s="11">
        <f t="shared" si="53"/>
        <v>12400</v>
      </c>
      <c r="H128" s="56">
        <f>H129+H130+H131</f>
        <v>0</v>
      </c>
      <c r="I128" s="22">
        <f t="shared" si="60"/>
        <v>0</v>
      </c>
      <c r="J128" s="11">
        <f t="shared" si="62"/>
        <v>12400</v>
      </c>
      <c r="K128" s="11">
        <f>SUM(K129:K129)</f>
        <v>0</v>
      </c>
      <c r="L128" s="11">
        <f>SUM(L129:L131)</f>
        <v>400</v>
      </c>
      <c r="M128" s="11">
        <f>SUM(M129:M131)</f>
        <v>12000</v>
      </c>
      <c r="N128" s="11">
        <f>SUM(N129:N131)</f>
        <v>0</v>
      </c>
      <c r="O128" s="11">
        <f>SUM(O129:O131)</f>
        <v>0</v>
      </c>
      <c r="P128" s="11">
        <f>SUM(P129:P130)</f>
        <v>0</v>
      </c>
      <c r="Q128" s="11">
        <f>SUM(Q129:Q130)</f>
        <v>0</v>
      </c>
    </row>
    <row r="129" spans="2:17" s="5" customFormat="1" ht="11.4" customHeight="1">
      <c r="B129" s="60"/>
      <c r="C129" s="13" t="s">
        <v>23</v>
      </c>
      <c r="D129" s="14"/>
      <c r="E129" s="15"/>
      <c r="F129" s="16"/>
      <c r="G129" s="17">
        <f t="shared" si="53"/>
        <v>1312.1949999999999</v>
      </c>
      <c r="H129" s="18">
        <v>0</v>
      </c>
      <c r="I129" s="17">
        <f t="shared" si="60"/>
        <v>0</v>
      </c>
      <c r="J129" s="17">
        <f t="shared" si="62"/>
        <v>1312.1949999999999</v>
      </c>
      <c r="K129" s="17">
        <v>0</v>
      </c>
      <c r="L129" s="17">
        <v>200</v>
      </c>
      <c r="M129" s="17">
        <v>1112.1949999999999</v>
      </c>
      <c r="N129" s="17">
        <v>0</v>
      </c>
      <c r="O129" s="17">
        <v>0</v>
      </c>
      <c r="P129" s="17">
        <v>0</v>
      </c>
      <c r="Q129" s="17">
        <v>0</v>
      </c>
    </row>
    <row r="130" spans="2:17" s="5" customFormat="1" ht="11.4" customHeight="1">
      <c r="B130" s="60"/>
      <c r="C130" s="13" t="s">
        <v>36</v>
      </c>
      <c r="D130" s="14"/>
      <c r="E130" s="15"/>
      <c r="F130" s="16"/>
      <c r="G130" s="17">
        <f t="shared" si="53"/>
        <v>2487.8049999999998</v>
      </c>
      <c r="H130" s="18">
        <v>0</v>
      </c>
      <c r="I130" s="17">
        <f t="shared" si="60"/>
        <v>0</v>
      </c>
      <c r="J130" s="17">
        <f t="shared" si="62"/>
        <v>2487.8049999999998</v>
      </c>
      <c r="K130" s="17">
        <v>0</v>
      </c>
      <c r="L130" s="17">
        <v>0</v>
      </c>
      <c r="M130" s="17">
        <v>2487.8049999999998</v>
      </c>
      <c r="N130" s="17">
        <v>0</v>
      </c>
      <c r="O130" s="17">
        <v>0</v>
      </c>
      <c r="P130" s="17">
        <v>0</v>
      </c>
      <c r="Q130" s="17">
        <v>0</v>
      </c>
    </row>
    <row r="131" spans="2:17" s="5" customFormat="1" ht="11.4" customHeight="1">
      <c r="B131" s="60"/>
      <c r="C131" s="13" t="s">
        <v>248</v>
      </c>
      <c r="D131" s="14"/>
      <c r="E131" s="15"/>
      <c r="F131" s="16"/>
      <c r="G131" s="17">
        <f t="shared" si="53"/>
        <v>8600</v>
      </c>
      <c r="H131" s="18">
        <v>0</v>
      </c>
      <c r="I131" s="17">
        <f t="shared" si="60"/>
        <v>0</v>
      </c>
      <c r="J131" s="17">
        <f t="shared" si="62"/>
        <v>8600</v>
      </c>
      <c r="K131" s="17">
        <v>0</v>
      </c>
      <c r="L131" s="17">
        <v>200</v>
      </c>
      <c r="M131" s="17">
        <v>8400</v>
      </c>
      <c r="N131" s="17">
        <v>0</v>
      </c>
      <c r="O131" s="17">
        <v>0</v>
      </c>
      <c r="P131" s="17">
        <v>0</v>
      </c>
      <c r="Q131" s="17">
        <v>0</v>
      </c>
    </row>
    <row r="132" spans="2:17" s="5" customFormat="1" ht="23.4" customHeight="1">
      <c r="B132" s="57">
        <v>42</v>
      </c>
      <c r="C132" s="7" t="s">
        <v>99</v>
      </c>
      <c r="D132" s="8" t="s">
        <v>241</v>
      </c>
      <c r="E132" s="9" t="s">
        <v>100</v>
      </c>
      <c r="F132" s="10">
        <f>G132</f>
        <v>48929.237999999998</v>
      </c>
      <c r="G132" s="11">
        <f t="shared" si="53"/>
        <v>48929.237999999998</v>
      </c>
      <c r="H132" s="35">
        <f>H133</f>
        <v>27734.113000000001</v>
      </c>
      <c r="I132" s="22">
        <f t="shared" si="60"/>
        <v>30055.238000000001</v>
      </c>
      <c r="J132" s="11">
        <f t="shared" si="55"/>
        <v>16874</v>
      </c>
      <c r="K132" s="11">
        <f t="shared" ref="K132:Q132" si="65">SUM(K133:K133)</f>
        <v>2321.125</v>
      </c>
      <c r="L132" s="11">
        <f t="shared" si="65"/>
        <v>3974</v>
      </c>
      <c r="M132" s="11">
        <f t="shared" si="65"/>
        <v>4200</v>
      </c>
      <c r="N132" s="11">
        <f t="shared" si="65"/>
        <v>4700</v>
      </c>
      <c r="O132" s="11">
        <f t="shared" si="65"/>
        <v>2000</v>
      </c>
      <c r="P132" s="11">
        <f t="shared" si="65"/>
        <v>2000</v>
      </c>
      <c r="Q132" s="11">
        <f t="shared" si="65"/>
        <v>2000</v>
      </c>
    </row>
    <row r="133" spans="2:17" s="5" customFormat="1" ht="11.4" customHeight="1">
      <c r="B133" s="60"/>
      <c r="C133" s="13" t="s">
        <v>23</v>
      </c>
      <c r="D133" s="14"/>
      <c r="E133" s="15"/>
      <c r="F133" s="16"/>
      <c r="G133" s="17">
        <f t="shared" si="53"/>
        <v>48929.237999999998</v>
      </c>
      <c r="H133" s="18">
        <v>27734.113000000001</v>
      </c>
      <c r="I133" s="17">
        <f t="shared" si="60"/>
        <v>30055.238000000001</v>
      </c>
      <c r="J133" s="17">
        <f t="shared" si="55"/>
        <v>16874</v>
      </c>
      <c r="K133" s="17">
        <f>1871.125+450</f>
        <v>2321.125</v>
      </c>
      <c r="L133" s="17">
        <v>3974</v>
      </c>
      <c r="M133" s="17">
        <v>4200</v>
      </c>
      <c r="N133" s="17">
        <v>4700</v>
      </c>
      <c r="O133" s="17">
        <v>2000</v>
      </c>
      <c r="P133" s="17">
        <v>2000</v>
      </c>
      <c r="Q133" s="17">
        <v>2000</v>
      </c>
    </row>
    <row r="134" spans="2:17" s="5" customFormat="1" ht="21.6" customHeight="1">
      <c r="B134" s="57">
        <v>43</v>
      </c>
      <c r="C134" s="20" t="s">
        <v>101</v>
      </c>
      <c r="D134" s="8" t="s">
        <v>102</v>
      </c>
      <c r="E134" s="9" t="s">
        <v>35</v>
      </c>
      <c r="F134" s="10">
        <f>G134</f>
        <v>33737.599999999999</v>
      </c>
      <c r="G134" s="11">
        <f t="shared" si="53"/>
        <v>33737.599999999999</v>
      </c>
      <c r="H134" s="35">
        <f>H135</f>
        <v>21737.599999999999</v>
      </c>
      <c r="I134" s="22">
        <f t="shared" si="60"/>
        <v>21737.599999999999</v>
      </c>
      <c r="J134" s="11">
        <f t="shared" si="55"/>
        <v>12000</v>
      </c>
      <c r="K134" s="11">
        <f t="shared" ref="K134:P136" si="66">SUM(K135)</f>
        <v>0</v>
      </c>
      <c r="L134" s="11">
        <f t="shared" si="66"/>
        <v>0</v>
      </c>
      <c r="M134" s="11">
        <f t="shared" si="66"/>
        <v>12000</v>
      </c>
      <c r="N134" s="11">
        <f t="shared" si="66"/>
        <v>0</v>
      </c>
      <c r="O134" s="11">
        <f t="shared" si="66"/>
        <v>0</v>
      </c>
      <c r="P134" s="11">
        <f t="shared" si="66"/>
        <v>0</v>
      </c>
      <c r="Q134" s="11">
        <f>SUM(O134:O134)</f>
        <v>0</v>
      </c>
    </row>
    <row r="135" spans="2:17" s="5" customFormat="1" ht="11.4" customHeight="1">
      <c r="B135" s="60"/>
      <c r="C135" s="13" t="s">
        <v>23</v>
      </c>
      <c r="D135" s="14"/>
      <c r="E135" s="15"/>
      <c r="F135" s="16"/>
      <c r="G135" s="17">
        <f t="shared" si="53"/>
        <v>33737.599999999999</v>
      </c>
      <c r="H135" s="18">
        <v>21737.599999999999</v>
      </c>
      <c r="I135" s="17">
        <f t="shared" si="60"/>
        <v>21737.599999999999</v>
      </c>
      <c r="J135" s="17">
        <f t="shared" si="55"/>
        <v>12000</v>
      </c>
      <c r="K135" s="17">
        <v>0</v>
      </c>
      <c r="L135" s="17">
        <v>0</v>
      </c>
      <c r="M135" s="17">
        <v>12000</v>
      </c>
      <c r="N135" s="17">
        <v>0</v>
      </c>
      <c r="O135" s="17">
        <v>0</v>
      </c>
      <c r="P135" s="17">
        <v>0</v>
      </c>
      <c r="Q135" s="17">
        <f>SUM(O135:O135)</f>
        <v>0</v>
      </c>
    </row>
    <row r="136" spans="2:17" s="5" customFormat="1" ht="21.6" customHeight="1">
      <c r="B136" s="57">
        <v>44</v>
      </c>
      <c r="C136" s="45" t="s">
        <v>107</v>
      </c>
      <c r="D136" s="8" t="s">
        <v>235</v>
      </c>
      <c r="E136" s="9" t="s">
        <v>74</v>
      </c>
      <c r="F136" s="10">
        <f>G136</f>
        <v>2556.9</v>
      </c>
      <c r="G136" s="11">
        <f t="shared" si="53"/>
        <v>2556.9</v>
      </c>
      <c r="H136" s="35">
        <f>H137</f>
        <v>0</v>
      </c>
      <c r="I136" s="22">
        <f t="shared" si="60"/>
        <v>714.9</v>
      </c>
      <c r="J136" s="11">
        <f t="shared" ref="J136:J137" si="67">SUM(L136:P136)</f>
        <v>1842</v>
      </c>
      <c r="K136" s="11">
        <f t="shared" si="66"/>
        <v>714.9</v>
      </c>
      <c r="L136" s="11">
        <f t="shared" si="66"/>
        <v>1842</v>
      </c>
      <c r="M136" s="11">
        <f t="shared" si="66"/>
        <v>0</v>
      </c>
      <c r="N136" s="11">
        <f t="shared" si="66"/>
        <v>0</v>
      </c>
      <c r="O136" s="11">
        <f t="shared" si="66"/>
        <v>0</v>
      </c>
      <c r="P136" s="11">
        <f t="shared" si="66"/>
        <v>0</v>
      </c>
      <c r="Q136" s="11">
        <f>SUM(O136:O136)</f>
        <v>0</v>
      </c>
    </row>
    <row r="137" spans="2:17" s="5" customFormat="1" ht="11.4" customHeight="1">
      <c r="B137" s="60"/>
      <c r="C137" s="13" t="s">
        <v>23</v>
      </c>
      <c r="D137" s="14"/>
      <c r="E137" s="15"/>
      <c r="F137" s="16"/>
      <c r="G137" s="17">
        <f t="shared" si="53"/>
        <v>2556.9</v>
      </c>
      <c r="H137" s="18">
        <v>0</v>
      </c>
      <c r="I137" s="17">
        <f t="shared" si="60"/>
        <v>714.9</v>
      </c>
      <c r="J137" s="17">
        <f t="shared" si="67"/>
        <v>1842</v>
      </c>
      <c r="K137" s="17">
        <v>714.9</v>
      </c>
      <c r="L137" s="17">
        <v>1842</v>
      </c>
      <c r="M137" s="17">
        <v>0</v>
      </c>
      <c r="N137" s="17">
        <v>0</v>
      </c>
      <c r="O137" s="17">
        <v>0</v>
      </c>
      <c r="P137" s="17">
        <v>0</v>
      </c>
      <c r="Q137" s="17">
        <f>SUM(O137:O137)</f>
        <v>0</v>
      </c>
    </row>
    <row r="138" spans="2:17" s="4" customFormat="1" ht="18" customHeight="1">
      <c r="B138" s="67" t="s">
        <v>267</v>
      </c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9"/>
    </row>
    <row r="139" spans="2:17" s="5" customFormat="1" ht="21.6" customHeight="1">
      <c r="B139" s="57">
        <v>45</v>
      </c>
      <c r="C139" s="20" t="s">
        <v>111</v>
      </c>
      <c r="D139" s="8" t="s">
        <v>219</v>
      </c>
      <c r="E139" s="9" t="s">
        <v>112</v>
      </c>
      <c r="F139" s="10">
        <f>G139</f>
        <v>19083.018</v>
      </c>
      <c r="G139" s="11">
        <f t="shared" ref="G139:G151" si="68">H139+J139+K139+Q139</f>
        <v>19083.018</v>
      </c>
      <c r="H139" s="35">
        <f>H140</f>
        <v>15502.018</v>
      </c>
      <c r="I139" s="22">
        <f t="shared" ref="I139:I151" si="69">H139+K139</f>
        <v>16502.018</v>
      </c>
      <c r="J139" s="11">
        <f t="shared" ref="J139:J151" si="70">SUM(L139:P139)</f>
        <v>2581</v>
      </c>
      <c r="K139" s="11">
        <f t="shared" ref="K139:Q139" si="71">SUM(K140)</f>
        <v>1000</v>
      </c>
      <c r="L139" s="11">
        <f t="shared" si="71"/>
        <v>1831</v>
      </c>
      <c r="M139" s="11">
        <f t="shared" si="71"/>
        <v>350</v>
      </c>
      <c r="N139" s="11">
        <f t="shared" si="71"/>
        <v>300</v>
      </c>
      <c r="O139" s="11">
        <f t="shared" si="71"/>
        <v>50</v>
      </c>
      <c r="P139" s="11">
        <f t="shared" si="71"/>
        <v>50</v>
      </c>
      <c r="Q139" s="11">
        <f t="shared" si="71"/>
        <v>0</v>
      </c>
    </row>
    <row r="140" spans="2:17" s="5" customFormat="1" ht="11.4" customHeight="1">
      <c r="B140" s="60"/>
      <c r="C140" s="13" t="s">
        <v>23</v>
      </c>
      <c r="D140" s="14"/>
      <c r="E140" s="15"/>
      <c r="F140" s="16"/>
      <c r="G140" s="17">
        <f t="shared" si="68"/>
        <v>19083.018</v>
      </c>
      <c r="H140" s="18">
        <v>15502.018</v>
      </c>
      <c r="I140" s="17">
        <f t="shared" si="69"/>
        <v>16502.018</v>
      </c>
      <c r="J140" s="17">
        <f t="shared" si="70"/>
        <v>2581</v>
      </c>
      <c r="K140" s="17">
        <v>1000</v>
      </c>
      <c r="L140" s="17">
        <v>1831</v>
      </c>
      <c r="M140" s="17">
        <v>350</v>
      </c>
      <c r="N140" s="17">
        <v>300</v>
      </c>
      <c r="O140" s="17">
        <v>50</v>
      </c>
      <c r="P140" s="17">
        <v>50</v>
      </c>
      <c r="Q140" s="17">
        <v>0</v>
      </c>
    </row>
    <row r="141" spans="2:17" s="4" customFormat="1" ht="30" customHeight="1">
      <c r="B141" s="57">
        <v>46</v>
      </c>
      <c r="C141" s="20" t="s">
        <v>117</v>
      </c>
      <c r="D141" s="8" t="s">
        <v>227</v>
      </c>
      <c r="E141" s="9" t="s">
        <v>112</v>
      </c>
      <c r="F141" s="10">
        <f>G141</f>
        <v>26539.466</v>
      </c>
      <c r="G141" s="11">
        <f t="shared" si="68"/>
        <v>26539.466</v>
      </c>
      <c r="H141" s="35">
        <f>H142</f>
        <v>15329.906000000001</v>
      </c>
      <c r="I141" s="22">
        <f t="shared" si="69"/>
        <v>18697.406000000003</v>
      </c>
      <c r="J141" s="11">
        <f>SUM(L141:P141)</f>
        <v>7842.0599999999995</v>
      </c>
      <c r="K141" s="11">
        <f t="shared" ref="K141:Q141" si="72">SUM(K142)</f>
        <v>3367.5</v>
      </c>
      <c r="L141" s="11">
        <f t="shared" si="72"/>
        <v>3842.06</v>
      </c>
      <c r="M141" s="11">
        <f t="shared" si="72"/>
        <v>1000</v>
      </c>
      <c r="N141" s="11">
        <f t="shared" si="72"/>
        <v>1000</v>
      </c>
      <c r="O141" s="11">
        <f t="shared" si="72"/>
        <v>1000</v>
      </c>
      <c r="P141" s="11">
        <f t="shared" si="72"/>
        <v>1000</v>
      </c>
      <c r="Q141" s="11">
        <f t="shared" si="72"/>
        <v>0</v>
      </c>
    </row>
    <row r="142" spans="2:17" s="4" customFormat="1" ht="11.4" customHeight="1">
      <c r="B142" s="60"/>
      <c r="C142" s="13" t="s">
        <v>23</v>
      </c>
      <c r="D142" s="14"/>
      <c r="E142" s="15"/>
      <c r="F142" s="16"/>
      <c r="G142" s="17">
        <f t="shared" si="68"/>
        <v>26539.466</v>
      </c>
      <c r="H142" s="18">
        <v>15329.906000000001</v>
      </c>
      <c r="I142" s="17">
        <f t="shared" si="69"/>
        <v>18697.406000000003</v>
      </c>
      <c r="J142" s="17">
        <f>SUM(L142:P142)</f>
        <v>7842.0599999999995</v>
      </c>
      <c r="K142" s="17">
        <v>3367.5</v>
      </c>
      <c r="L142" s="17">
        <v>3842.06</v>
      </c>
      <c r="M142" s="17">
        <f>500+500</f>
        <v>1000</v>
      </c>
      <c r="N142" s="17">
        <f>500+500</f>
        <v>1000</v>
      </c>
      <c r="O142" s="17">
        <v>1000</v>
      </c>
      <c r="P142" s="17">
        <v>1000</v>
      </c>
      <c r="Q142" s="17"/>
    </row>
    <row r="143" spans="2:17" s="5" customFormat="1" ht="21.6" customHeight="1">
      <c r="B143" s="57">
        <v>47</v>
      </c>
      <c r="C143" s="20" t="s">
        <v>113</v>
      </c>
      <c r="D143" s="8" t="s">
        <v>114</v>
      </c>
      <c r="E143" s="9" t="s">
        <v>115</v>
      </c>
      <c r="F143" s="10">
        <f>G143-G145</f>
        <v>24742.133999999998</v>
      </c>
      <c r="G143" s="11">
        <f t="shared" si="68"/>
        <v>26693.133999999998</v>
      </c>
      <c r="H143" s="35">
        <f>H144+H145</f>
        <v>12669.475</v>
      </c>
      <c r="I143" s="22">
        <f t="shared" si="69"/>
        <v>12887.134</v>
      </c>
      <c r="J143" s="11">
        <f t="shared" si="70"/>
        <v>13806</v>
      </c>
      <c r="K143" s="11">
        <f t="shared" ref="K143:Q143" si="73">SUM(K144:K145)</f>
        <v>217.65899999999999</v>
      </c>
      <c r="L143" s="11">
        <f t="shared" si="73"/>
        <v>2750</v>
      </c>
      <c r="M143" s="11">
        <f t="shared" si="73"/>
        <v>8056</v>
      </c>
      <c r="N143" s="11">
        <f t="shared" si="73"/>
        <v>3000</v>
      </c>
      <c r="O143" s="11">
        <f t="shared" si="73"/>
        <v>0</v>
      </c>
      <c r="P143" s="11">
        <f t="shared" si="73"/>
        <v>0</v>
      </c>
      <c r="Q143" s="11">
        <f t="shared" si="73"/>
        <v>0</v>
      </c>
    </row>
    <row r="144" spans="2:17" s="5" customFormat="1" ht="11.4" customHeight="1">
      <c r="B144" s="60"/>
      <c r="C144" s="13" t="s">
        <v>23</v>
      </c>
      <c r="D144" s="14"/>
      <c r="E144" s="15"/>
      <c r="F144" s="16"/>
      <c r="G144" s="17">
        <f t="shared" si="68"/>
        <v>24742.133999999998</v>
      </c>
      <c r="H144" s="18">
        <v>12168.475</v>
      </c>
      <c r="I144" s="17">
        <f t="shared" si="69"/>
        <v>12386.134</v>
      </c>
      <c r="J144" s="17">
        <f t="shared" si="70"/>
        <v>12356</v>
      </c>
      <c r="K144" s="17">
        <v>217.65899999999999</v>
      </c>
      <c r="L144" s="17">
        <v>1300</v>
      </c>
      <c r="M144" s="17">
        <f>8200-144</f>
        <v>8056</v>
      </c>
      <c r="N144" s="17">
        <v>3000</v>
      </c>
      <c r="O144" s="17">
        <v>0</v>
      </c>
      <c r="P144" s="17">
        <v>0</v>
      </c>
      <c r="Q144" s="17">
        <f>SUM(O144:O144)</f>
        <v>0</v>
      </c>
    </row>
    <row r="145" spans="2:17" s="4" customFormat="1" ht="11.4" customHeight="1">
      <c r="B145" s="60"/>
      <c r="C145" s="13" t="s">
        <v>116</v>
      </c>
      <c r="D145" s="14"/>
      <c r="E145" s="15"/>
      <c r="F145" s="16"/>
      <c r="G145" s="17">
        <f t="shared" si="68"/>
        <v>1951</v>
      </c>
      <c r="H145" s="18">
        <v>501</v>
      </c>
      <c r="I145" s="17">
        <f t="shared" si="69"/>
        <v>501</v>
      </c>
      <c r="J145" s="17">
        <f t="shared" si="70"/>
        <v>1450</v>
      </c>
      <c r="K145" s="18">
        <v>0</v>
      </c>
      <c r="L145" s="18">
        <v>1450</v>
      </c>
      <c r="M145" s="18">
        <v>0</v>
      </c>
      <c r="N145" s="18">
        <v>0</v>
      </c>
      <c r="O145" s="18">
        <v>0</v>
      </c>
      <c r="P145" s="18">
        <v>0</v>
      </c>
      <c r="Q145" s="17">
        <f>SUM(O145:O145)</f>
        <v>0</v>
      </c>
    </row>
    <row r="146" spans="2:17" s="5" customFormat="1" ht="23.4" customHeight="1">
      <c r="B146" s="57">
        <v>48</v>
      </c>
      <c r="C146" s="20" t="s">
        <v>118</v>
      </c>
      <c r="D146" s="8" t="s">
        <v>119</v>
      </c>
      <c r="E146" s="28">
        <v>2016</v>
      </c>
      <c r="F146" s="10">
        <f>G146</f>
        <v>3400</v>
      </c>
      <c r="G146" s="11">
        <f t="shared" si="68"/>
        <v>3400</v>
      </c>
      <c r="H146" s="35">
        <f>H147</f>
        <v>0</v>
      </c>
      <c r="I146" s="22">
        <f t="shared" si="69"/>
        <v>0</v>
      </c>
      <c r="J146" s="11">
        <f t="shared" si="70"/>
        <v>3400</v>
      </c>
      <c r="K146" s="11">
        <f t="shared" ref="K146:P146" si="74">SUM(K147)</f>
        <v>0</v>
      </c>
      <c r="L146" s="11">
        <f t="shared" si="74"/>
        <v>0</v>
      </c>
      <c r="M146" s="11">
        <f t="shared" si="74"/>
        <v>3400</v>
      </c>
      <c r="N146" s="11">
        <f t="shared" si="74"/>
        <v>0</v>
      </c>
      <c r="O146" s="11">
        <f t="shared" si="74"/>
        <v>0</v>
      </c>
      <c r="P146" s="11">
        <f t="shared" si="74"/>
        <v>0</v>
      </c>
      <c r="Q146" s="11">
        <f>SUM(O146:O146)</f>
        <v>0</v>
      </c>
    </row>
    <row r="147" spans="2:17" s="5" customFormat="1" ht="11.4" customHeight="1">
      <c r="B147" s="60"/>
      <c r="C147" s="13" t="s">
        <v>23</v>
      </c>
      <c r="D147" s="14"/>
      <c r="E147" s="15"/>
      <c r="F147" s="16"/>
      <c r="G147" s="17">
        <f t="shared" si="68"/>
        <v>3400</v>
      </c>
      <c r="H147" s="18">
        <v>0</v>
      </c>
      <c r="I147" s="17">
        <f t="shared" si="69"/>
        <v>0</v>
      </c>
      <c r="J147" s="17">
        <f t="shared" si="70"/>
        <v>3400</v>
      </c>
      <c r="K147" s="17">
        <v>0</v>
      </c>
      <c r="L147" s="17">
        <v>0</v>
      </c>
      <c r="M147" s="17">
        <v>3400</v>
      </c>
      <c r="N147" s="17">
        <v>0</v>
      </c>
      <c r="O147" s="17">
        <v>0</v>
      </c>
      <c r="P147" s="17">
        <v>0</v>
      </c>
      <c r="Q147" s="17">
        <f>SUM(O147:O147)</f>
        <v>0</v>
      </c>
    </row>
    <row r="148" spans="2:17" s="5" customFormat="1" ht="21.6" customHeight="1">
      <c r="B148" s="57">
        <v>49</v>
      </c>
      <c r="C148" s="20" t="s">
        <v>120</v>
      </c>
      <c r="D148" s="8" t="s">
        <v>121</v>
      </c>
      <c r="E148" s="28" t="s">
        <v>122</v>
      </c>
      <c r="F148" s="10">
        <f>G148</f>
        <v>76702.679999999993</v>
      </c>
      <c r="G148" s="11">
        <f t="shared" si="68"/>
        <v>76702.679999999993</v>
      </c>
      <c r="H148" s="35">
        <f>H149</f>
        <v>0</v>
      </c>
      <c r="I148" s="22">
        <f t="shared" si="69"/>
        <v>2.68</v>
      </c>
      <c r="J148" s="11">
        <f t="shared" si="70"/>
        <v>76700</v>
      </c>
      <c r="K148" s="11">
        <f t="shared" ref="K148:Q148" si="75">SUM(K149)</f>
        <v>2.68</v>
      </c>
      <c r="L148" s="11">
        <f t="shared" si="75"/>
        <v>0</v>
      </c>
      <c r="M148" s="11">
        <f t="shared" si="75"/>
        <v>0</v>
      </c>
      <c r="N148" s="11">
        <f t="shared" si="75"/>
        <v>0</v>
      </c>
      <c r="O148" s="11">
        <f t="shared" si="75"/>
        <v>20000</v>
      </c>
      <c r="P148" s="11">
        <f t="shared" si="75"/>
        <v>56700</v>
      </c>
      <c r="Q148" s="11">
        <f t="shared" si="75"/>
        <v>0</v>
      </c>
    </row>
    <row r="149" spans="2:17" s="5" customFormat="1" ht="11.4" customHeight="1">
      <c r="B149" s="60"/>
      <c r="C149" s="13" t="s">
        <v>23</v>
      </c>
      <c r="D149" s="14"/>
      <c r="E149" s="15"/>
      <c r="F149" s="16"/>
      <c r="G149" s="17">
        <f t="shared" si="68"/>
        <v>76702.679999999993</v>
      </c>
      <c r="H149" s="18">
        <v>0</v>
      </c>
      <c r="I149" s="17">
        <f t="shared" si="69"/>
        <v>2.68</v>
      </c>
      <c r="J149" s="17">
        <f t="shared" si="70"/>
        <v>76700</v>
      </c>
      <c r="K149" s="17">
        <v>2.68</v>
      </c>
      <c r="L149" s="17">
        <v>0</v>
      </c>
      <c r="M149" s="17">
        <v>0</v>
      </c>
      <c r="N149" s="17">
        <v>0</v>
      </c>
      <c r="O149" s="17">
        <v>20000</v>
      </c>
      <c r="P149" s="17">
        <v>56700</v>
      </c>
      <c r="Q149" s="17">
        <v>0</v>
      </c>
    </row>
    <row r="150" spans="2:17" s="5" customFormat="1" ht="21.6" customHeight="1">
      <c r="B150" s="57">
        <v>50</v>
      </c>
      <c r="C150" s="45" t="s">
        <v>107</v>
      </c>
      <c r="D150" s="8" t="s">
        <v>219</v>
      </c>
      <c r="E150" s="29">
        <v>2015</v>
      </c>
      <c r="F150" s="10">
        <f>G150</f>
        <v>100</v>
      </c>
      <c r="G150" s="11">
        <f t="shared" si="68"/>
        <v>100</v>
      </c>
      <c r="H150" s="35">
        <f>H151</f>
        <v>0</v>
      </c>
      <c r="I150" s="22">
        <f t="shared" si="69"/>
        <v>0</v>
      </c>
      <c r="J150" s="11">
        <f t="shared" si="70"/>
        <v>100</v>
      </c>
      <c r="K150" s="11">
        <f t="shared" ref="K150:P150" si="76">SUM(K151)</f>
        <v>0</v>
      </c>
      <c r="L150" s="11">
        <f t="shared" si="76"/>
        <v>100</v>
      </c>
      <c r="M150" s="11">
        <f t="shared" si="76"/>
        <v>0</v>
      </c>
      <c r="N150" s="11">
        <f t="shared" si="76"/>
        <v>0</v>
      </c>
      <c r="O150" s="11">
        <f t="shared" si="76"/>
        <v>0</v>
      </c>
      <c r="P150" s="11">
        <f t="shared" si="76"/>
        <v>0</v>
      </c>
      <c r="Q150" s="11">
        <f>SUM(O150:O150)</f>
        <v>0</v>
      </c>
    </row>
    <row r="151" spans="2:17" s="5" customFormat="1" ht="10.95" customHeight="1">
      <c r="B151" s="60"/>
      <c r="C151" s="13" t="s">
        <v>23</v>
      </c>
      <c r="D151" s="14"/>
      <c r="E151" s="15"/>
      <c r="F151" s="16"/>
      <c r="G151" s="17">
        <f t="shared" si="68"/>
        <v>100</v>
      </c>
      <c r="H151" s="18">
        <v>0</v>
      </c>
      <c r="I151" s="17">
        <f t="shared" si="69"/>
        <v>0</v>
      </c>
      <c r="J151" s="17">
        <f t="shared" si="70"/>
        <v>100</v>
      </c>
      <c r="K151" s="17">
        <v>0</v>
      </c>
      <c r="L151" s="17">
        <v>100</v>
      </c>
      <c r="M151" s="17">
        <v>0</v>
      </c>
      <c r="N151" s="17">
        <v>0</v>
      </c>
      <c r="O151" s="17">
        <v>0</v>
      </c>
      <c r="P151" s="17">
        <v>0</v>
      </c>
      <c r="Q151" s="17">
        <f>SUM(O151:O151)</f>
        <v>0</v>
      </c>
    </row>
    <row r="152" spans="2:17" s="4" customFormat="1" ht="17.25" customHeight="1">
      <c r="B152" s="67" t="s">
        <v>266</v>
      </c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9"/>
    </row>
    <row r="153" spans="2:17" s="5" customFormat="1" ht="22.95" customHeight="1">
      <c r="B153" s="57">
        <v>51</v>
      </c>
      <c r="C153" s="7" t="s">
        <v>123</v>
      </c>
      <c r="D153" s="8" t="s">
        <v>228</v>
      </c>
      <c r="E153" s="9" t="s">
        <v>90</v>
      </c>
      <c r="F153" s="10">
        <f>G153</f>
        <v>115046.37000000001</v>
      </c>
      <c r="G153" s="11">
        <f t="shared" ref="G153:G162" si="77">H153+J153+K153+Q153</f>
        <v>115046.37000000001</v>
      </c>
      <c r="H153" s="35">
        <f>H154</f>
        <v>65474.377</v>
      </c>
      <c r="I153" s="22">
        <f t="shared" ref="I153:I162" si="78">H153+K153</f>
        <v>69651.37</v>
      </c>
      <c r="J153" s="11">
        <f t="shared" ref="J153:J162" si="79">SUM(L153:P153)</f>
        <v>45395</v>
      </c>
      <c r="K153" s="11">
        <f t="shared" ref="K153:Q153" si="80">SUM(K154)</f>
        <v>4176.9930000000004</v>
      </c>
      <c r="L153" s="11">
        <f t="shared" si="80"/>
        <v>8395</v>
      </c>
      <c r="M153" s="11">
        <f t="shared" si="80"/>
        <v>7000</v>
      </c>
      <c r="N153" s="11">
        <f t="shared" si="80"/>
        <v>10000</v>
      </c>
      <c r="O153" s="11">
        <f t="shared" si="80"/>
        <v>10000</v>
      </c>
      <c r="P153" s="11">
        <f t="shared" si="80"/>
        <v>10000</v>
      </c>
      <c r="Q153" s="11">
        <f t="shared" si="80"/>
        <v>0</v>
      </c>
    </row>
    <row r="154" spans="2:17" s="5" customFormat="1" ht="10.95" customHeight="1">
      <c r="B154" s="60"/>
      <c r="C154" s="13" t="s">
        <v>23</v>
      </c>
      <c r="D154" s="14"/>
      <c r="E154" s="15"/>
      <c r="F154" s="16"/>
      <c r="G154" s="17">
        <f t="shared" si="77"/>
        <v>115046.37000000001</v>
      </c>
      <c r="H154" s="18">
        <v>65474.377</v>
      </c>
      <c r="I154" s="17">
        <f t="shared" si="78"/>
        <v>69651.37</v>
      </c>
      <c r="J154" s="17">
        <f t="shared" si="79"/>
        <v>45395</v>
      </c>
      <c r="K154" s="17">
        <v>4176.9930000000004</v>
      </c>
      <c r="L154" s="17">
        <f>8000+395</f>
        <v>8395</v>
      </c>
      <c r="M154" s="17">
        <v>7000</v>
      </c>
      <c r="N154" s="17">
        <v>10000</v>
      </c>
      <c r="O154" s="17">
        <v>10000</v>
      </c>
      <c r="P154" s="17">
        <v>10000</v>
      </c>
      <c r="Q154" s="17">
        <v>0</v>
      </c>
    </row>
    <row r="155" spans="2:17" s="5" customFormat="1" ht="22.95" customHeight="1">
      <c r="B155" s="57">
        <v>52</v>
      </c>
      <c r="C155" s="7" t="s">
        <v>124</v>
      </c>
      <c r="D155" s="8" t="s">
        <v>223</v>
      </c>
      <c r="E155" s="9" t="s">
        <v>63</v>
      </c>
      <c r="F155" s="10">
        <f>G156+G157</f>
        <v>10346.789000000001</v>
      </c>
      <c r="G155" s="11">
        <f t="shared" si="77"/>
        <v>10886.789000000001</v>
      </c>
      <c r="H155" s="35">
        <f>H156+H157+H158</f>
        <v>4414.7889999999998</v>
      </c>
      <c r="I155" s="22">
        <f t="shared" si="78"/>
        <v>5886.7889999999998</v>
      </c>
      <c r="J155" s="11">
        <f t="shared" si="79"/>
        <v>5000</v>
      </c>
      <c r="K155" s="11">
        <f>SUM(K156)</f>
        <v>1472</v>
      </c>
      <c r="L155" s="35">
        <f>SUM(L156:L158)</f>
        <v>1950</v>
      </c>
      <c r="M155" s="11">
        <f>SUM(M156:M158)</f>
        <v>1250</v>
      </c>
      <c r="N155" s="11">
        <f>SUM(N156:N158)</f>
        <v>1800</v>
      </c>
      <c r="O155" s="11">
        <f>SUM(O156:O158)</f>
        <v>0</v>
      </c>
      <c r="P155" s="11">
        <f>SUM(P156:P158)</f>
        <v>0</v>
      </c>
      <c r="Q155" s="11">
        <f t="shared" ref="Q155:Q162" si="81">SUM(O155:O155)</f>
        <v>0</v>
      </c>
    </row>
    <row r="156" spans="2:17" s="5" customFormat="1" ht="10.95" customHeight="1">
      <c r="B156" s="60"/>
      <c r="C156" s="13" t="s">
        <v>23</v>
      </c>
      <c r="D156" s="14"/>
      <c r="E156" s="15"/>
      <c r="F156" s="16"/>
      <c r="G156" s="17">
        <f t="shared" si="77"/>
        <v>9496.7890000000007</v>
      </c>
      <c r="H156" s="18">
        <v>4414.7889999999998</v>
      </c>
      <c r="I156" s="17">
        <f t="shared" si="78"/>
        <v>5886.7889999999998</v>
      </c>
      <c r="J156" s="17">
        <f t="shared" si="79"/>
        <v>3610</v>
      </c>
      <c r="K156" s="17">
        <v>1472</v>
      </c>
      <c r="L156" s="17">
        <f>1570+200</f>
        <v>1770</v>
      </c>
      <c r="M156" s="17">
        <v>820</v>
      </c>
      <c r="N156" s="17">
        <v>1020</v>
      </c>
      <c r="O156" s="17">
        <v>0</v>
      </c>
      <c r="P156" s="17">
        <v>0</v>
      </c>
      <c r="Q156" s="17">
        <f t="shared" si="81"/>
        <v>0</v>
      </c>
    </row>
    <row r="157" spans="2:17" s="5" customFormat="1" ht="10.95" customHeight="1">
      <c r="B157" s="60"/>
      <c r="C157" s="13" t="s">
        <v>36</v>
      </c>
      <c r="D157" s="14"/>
      <c r="E157" s="15"/>
      <c r="F157" s="16"/>
      <c r="G157" s="17">
        <f t="shared" si="77"/>
        <v>850</v>
      </c>
      <c r="H157" s="18">
        <v>0</v>
      </c>
      <c r="I157" s="17">
        <f t="shared" si="78"/>
        <v>0</v>
      </c>
      <c r="J157" s="17">
        <f t="shared" si="79"/>
        <v>850</v>
      </c>
      <c r="K157" s="17">
        <v>0</v>
      </c>
      <c r="L157" s="17">
        <v>0</v>
      </c>
      <c r="M157" s="17">
        <v>250</v>
      </c>
      <c r="N157" s="17">
        <v>600</v>
      </c>
      <c r="O157" s="17">
        <v>0</v>
      </c>
      <c r="P157" s="17">
        <v>0</v>
      </c>
      <c r="Q157" s="17">
        <v>0</v>
      </c>
    </row>
    <row r="158" spans="2:17" s="5" customFormat="1" ht="10.95" customHeight="1">
      <c r="B158" s="60"/>
      <c r="C158" s="13" t="s">
        <v>125</v>
      </c>
      <c r="D158" s="14"/>
      <c r="E158" s="15"/>
      <c r="F158" s="16"/>
      <c r="G158" s="17">
        <f t="shared" si="77"/>
        <v>540</v>
      </c>
      <c r="H158" s="18">
        <v>0</v>
      </c>
      <c r="I158" s="17">
        <f t="shared" si="78"/>
        <v>0</v>
      </c>
      <c r="J158" s="17">
        <f t="shared" si="79"/>
        <v>540</v>
      </c>
      <c r="K158" s="17">
        <v>0</v>
      </c>
      <c r="L158" s="17">
        <v>180</v>
      </c>
      <c r="M158" s="17">
        <v>180</v>
      </c>
      <c r="N158" s="17">
        <v>180</v>
      </c>
      <c r="O158" s="17">
        <v>0</v>
      </c>
      <c r="P158" s="17">
        <v>0</v>
      </c>
      <c r="Q158" s="17">
        <v>0</v>
      </c>
    </row>
    <row r="159" spans="2:17" s="5" customFormat="1" ht="27.75" customHeight="1">
      <c r="B159" s="57">
        <v>53</v>
      </c>
      <c r="C159" s="20" t="s">
        <v>126</v>
      </c>
      <c r="D159" s="8" t="s">
        <v>104</v>
      </c>
      <c r="E159" s="9" t="s">
        <v>32</v>
      </c>
      <c r="F159" s="10">
        <f>G159</f>
        <v>26694.583999999999</v>
      </c>
      <c r="G159" s="11">
        <f t="shared" si="77"/>
        <v>26694.583999999999</v>
      </c>
      <c r="H159" s="35">
        <f>H160</f>
        <v>20178.524000000001</v>
      </c>
      <c r="I159" s="22">
        <f t="shared" si="78"/>
        <v>23436.554</v>
      </c>
      <c r="J159" s="11">
        <f t="shared" si="79"/>
        <v>3258.03</v>
      </c>
      <c r="K159" s="11">
        <f t="shared" ref="K159:P159" si="82">SUM(K160:K160)</f>
        <v>3258.03</v>
      </c>
      <c r="L159" s="11">
        <f t="shared" si="82"/>
        <v>3258.03</v>
      </c>
      <c r="M159" s="11">
        <f t="shared" si="82"/>
        <v>0</v>
      </c>
      <c r="N159" s="11">
        <f t="shared" si="82"/>
        <v>0</v>
      </c>
      <c r="O159" s="11">
        <f t="shared" si="82"/>
        <v>0</v>
      </c>
      <c r="P159" s="11">
        <f t="shared" si="82"/>
        <v>0</v>
      </c>
      <c r="Q159" s="11">
        <f t="shared" si="81"/>
        <v>0</v>
      </c>
    </row>
    <row r="160" spans="2:17" s="5" customFormat="1" ht="10.95" customHeight="1">
      <c r="B160" s="60"/>
      <c r="C160" s="13" t="s">
        <v>23</v>
      </c>
      <c r="D160" s="14"/>
      <c r="E160" s="15"/>
      <c r="F160" s="16"/>
      <c r="G160" s="17">
        <f t="shared" si="77"/>
        <v>26694.583999999999</v>
      </c>
      <c r="H160" s="18">
        <v>20178.524000000001</v>
      </c>
      <c r="I160" s="17">
        <f t="shared" si="78"/>
        <v>23436.554</v>
      </c>
      <c r="J160" s="17">
        <f t="shared" si="79"/>
        <v>3258.03</v>
      </c>
      <c r="K160" s="17">
        <v>3258.03</v>
      </c>
      <c r="L160" s="17">
        <v>3258.03</v>
      </c>
      <c r="M160" s="17">
        <v>0</v>
      </c>
      <c r="N160" s="17">
        <v>0</v>
      </c>
      <c r="O160" s="17">
        <v>0</v>
      </c>
      <c r="P160" s="17">
        <v>0</v>
      </c>
      <c r="Q160" s="17">
        <f t="shared" si="81"/>
        <v>0</v>
      </c>
    </row>
    <row r="161" spans="2:17" s="5" customFormat="1" ht="22.95" customHeight="1">
      <c r="B161" s="61">
        <v>54</v>
      </c>
      <c r="C161" s="20" t="s">
        <v>127</v>
      </c>
      <c r="D161" s="8" t="s">
        <v>104</v>
      </c>
      <c r="E161" s="28">
        <v>2017</v>
      </c>
      <c r="F161" s="10">
        <f>G161</f>
        <v>1400</v>
      </c>
      <c r="G161" s="11">
        <f t="shared" si="77"/>
        <v>1400</v>
      </c>
      <c r="H161" s="56">
        <f>H162</f>
        <v>0</v>
      </c>
      <c r="I161" s="22">
        <f t="shared" si="78"/>
        <v>0</v>
      </c>
      <c r="J161" s="11">
        <f t="shared" si="79"/>
        <v>1400</v>
      </c>
      <c r="K161" s="11">
        <f t="shared" ref="K161:P161" si="83">SUM(K162:K162)</f>
        <v>0</v>
      </c>
      <c r="L161" s="11">
        <f t="shared" si="83"/>
        <v>0</v>
      </c>
      <c r="M161" s="11">
        <f t="shared" si="83"/>
        <v>0</v>
      </c>
      <c r="N161" s="11">
        <f t="shared" si="83"/>
        <v>1400</v>
      </c>
      <c r="O161" s="11">
        <f t="shared" si="83"/>
        <v>0</v>
      </c>
      <c r="P161" s="11">
        <f t="shared" si="83"/>
        <v>0</v>
      </c>
      <c r="Q161" s="11">
        <f t="shared" si="81"/>
        <v>0</v>
      </c>
    </row>
    <row r="162" spans="2:17" s="5" customFormat="1" ht="10.95" customHeight="1">
      <c r="B162" s="60"/>
      <c r="C162" s="13" t="s">
        <v>23</v>
      </c>
      <c r="D162" s="14"/>
      <c r="E162" s="15"/>
      <c r="F162" s="16"/>
      <c r="G162" s="17">
        <f t="shared" si="77"/>
        <v>1400</v>
      </c>
      <c r="H162" s="18">
        <v>0</v>
      </c>
      <c r="I162" s="17">
        <f t="shared" si="78"/>
        <v>0</v>
      </c>
      <c r="J162" s="17">
        <f t="shared" si="79"/>
        <v>1400</v>
      </c>
      <c r="K162" s="17">
        <v>0</v>
      </c>
      <c r="L162" s="17">
        <v>0</v>
      </c>
      <c r="M162" s="17">
        <v>0</v>
      </c>
      <c r="N162" s="17">
        <v>1400</v>
      </c>
      <c r="O162" s="17">
        <v>0</v>
      </c>
      <c r="P162" s="17">
        <v>0</v>
      </c>
      <c r="Q162" s="17">
        <f t="shared" si="81"/>
        <v>0</v>
      </c>
    </row>
    <row r="163" spans="2:17" s="4" customFormat="1" ht="21" customHeight="1">
      <c r="B163" s="64" t="s">
        <v>277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6"/>
    </row>
    <row r="164" spans="2:17" s="5" customFormat="1" ht="22.95" customHeight="1">
      <c r="B164" s="57">
        <v>55</v>
      </c>
      <c r="C164" s="7" t="s">
        <v>130</v>
      </c>
      <c r="D164" s="8" t="s">
        <v>129</v>
      </c>
      <c r="E164" s="29" t="s">
        <v>109</v>
      </c>
      <c r="F164" s="10">
        <f>G164</f>
        <v>1873.607</v>
      </c>
      <c r="G164" s="11">
        <f t="shared" ref="G164:G169" si="84">H164+J164+K164+Q164</f>
        <v>1873.607</v>
      </c>
      <c r="H164" s="35">
        <f>H165</f>
        <v>81.244</v>
      </c>
      <c r="I164" s="22">
        <f t="shared" ref="I164:I169" si="85">H164+K164</f>
        <v>81.244</v>
      </c>
      <c r="J164" s="11">
        <f t="shared" ref="J164:J169" si="86">SUM(L164:P164)</f>
        <v>1792.3630000000001</v>
      </c>
      <c r="K164" s="11">
        <f t="shared" ref="K164:P164" si="87">SUM(K165)</f>
        <v>0</v>
      </c>
      <c r="L164" s="11">
        <f t="shared" si="87"/>
        <v>1792.3630000000001</v>
      </c>
      <c r="M164" s="11">
        <f t="shared" si="87"/>
        <v>0</v>
      </c>
      <c r="N164" s="11">
        <f t="shared" si="87"/>
        <v>0</v>
      </c>
      <c r="O164" s="11">
        <f t="shared" si="87"/>
        <v>0</v>
      </c>
      <c r="P164" s="11">
        <f t="shared" si="87"/>
        <v>0</v>
      </c>
      <c r="Q164" s="11">
        <f t="shared" ref="Q164:Q169" si="88">SUM(O164:O164)</f>
        <v>0</v>
      </c>
    </row>
    <row r="165" spans="2:17" s="5" customFormat="1" ht="10.95" customHeight="1">
      <c r="B165" s="60"/>
      <c r="C165" s="13" t="s">
        <v>23</v>
      </c>
      <c r="D165" s="14"/>
      <c r="E165" s="15"/>
      <c r="F165" s="16"/>
      <c r="G165" s="17">
        <f t="shared" si="84"/>
        <v>1873.607</v>
      </c>
      <c r="H165" s="18">
        <v>81.244</v>
      </c>
      <c r="I165" s="17">
        <f t="shared" si="85"/>
        <v>81.244</v>
      </c>
      <c r="J165" s="17">
        <f t="shared" si="86"/>
        <v>1792.3630000000001</v>
      </c>
      <c r="K165" s="17">
        <v>0</v>
      </c>
      <c r="L165" s="17">
        <v>1792.3630000000001</v>
      </c>
      <c r="M165" s="17">
        <v>0</v>
      </c>
      <c r="N165" s="17">
        <v>0</v>
      </c>
      <c r="O165" s="17">
        <v>0</v>
      </c>
      <c r="P165" s="17">
        <v>0</v>
      </c>
      <c r="Q165" s="17">
        <f t="shared" si="88"/>
        <v>0</v>
      </c>
    </row>
    <row r="166" spans="2:17" s="5" customFormat="1" ht="22.95" customHeight="1">
      <c r="B166" s="57">
        <v>56</v>
      </c>
      <c r="C166" s="7" t="s">
        <v>131</v>
      </c>
      <c r="D166" s="8" t="s">
        <v>129</v>
      </c>
      <c r="E166" s="9" t="s">
        <v>97</v>
      </c>
      <c r="F166" s="10">
        <f>G166</f>
        <v>6000</v>
      </c>
      <c r="G166" s="11">
        <f t="shared" si="84"/>
        <v>6000</v>
      </c>
      <c r="H166" s="35">
        <f>H167</f>
        <v>70</v>
      </c>
      <c r="I166" s="22">
        <f t="shared" si="85"/>
        <v>1000</v>
      </c>
      <c r="J166" s="11">
        <f t="shared" si="86"/>
        <v>5000</v>
      </c>
      <c r="K166" s="11">
        <f t="shared" ref="K166:P168" si="89">SUM(K167:K167)</f>
        <v>930</v>
      </c>
      <c r="L166" s="11">
        <f t="shared" si="89"/>
        <v>1000</v>
      </c>
      <c r="M166" s="11">
        <f t="shared" si="89"/>
        <v>2000</v>
      </c>
      <c r="N166" s="11">
        <f t="shared" si="89"/>
        <v>2000</v>
      </c>
      <c r="O166" s="11">
        <f t="shared" si="89"/>
        <v>0</v>
      </c>
      <c r="P166" s="11">
        <f t="shared" si="89"/>
        <v>0</v>
      </c>
      <c r="Q166" s="11">
        <f t="shared" si="88"/>
        <v>0</v>
      </c>
    </row>
    <row r="167" spans="2:17" s="5" customFormat="1" ht="10.95" customHeight="1">
      <c r="B167" s="60"/>
      <c r="C167" s="13" t="s">
        <v>23</v>
      </c>
      <c r="D167" s="14"/>
      <c r="E167" s="15"/>
      <c r="F167" s="16"/>
      <c r="G167" s="17">
        <f t="shared" si="84"/>
        <v>6000</v>
      </c>
      <c r="H167" s="18">
        <v>70</v>
      </c>
      <c r="I167" s="17">
        <f t="shared" si="85"/>
        <v>1000</v>
      </c>
      <c r="J167" s="17">
        <f t="shared" si="86"/>
        <v>5000</v>
      </c>
      <c r="K167" s="17">
        <v>930</v>
      </c>
      <c r="L167" s="17">
        <v>1000</v>
      </c>
      <c r="M167" s="17">
        <v>2000</v>
      </c>
      <c r="N167" s="17">
        <v>2000</v>
      </c>
      <c r="O167" s="17">
        <v>0</v>
      </c>
      <c r="P167" s="17">
        <v>0</v>
      </c>
      <c r="Q167" s="17">
        <f t="shared" si="88"/>
        <v>0</v>
      </c>
    </row>
    <row r="168" spans="2:17" s="5" customFormat="1" ht="22.95" customHeight="1">
      <c r="B168" s="57">
        <v>57</v>
      </c>
      <c r="C168" s="7" t="s">
        <v>255</v>
      </c>
      <c r="D168" s="8" t="s">
        <v>129</v>
      </c>
      <c r="E168" s="9" t="s">
        <v>217</v>
      </c>
      <c r="F168" s="10">
        <f>G168</f>
        <v>11898.5</v>
      </c>
      <c r="G168" s="11">
        <f t="shared" si="84"/>
        <v>11898.5</v>
      </c>
      <c r="H168" s="35">
        <f>H169</f>
        <v>8500</v>
      </c>
      <c r="I168" s="22">
        <f t="shared" si="85"/>
        <v>11036.796</v>
      </c>
      <c r="J168" s="11">
        <f t="shared" si="86"/>
        <v>861.70399999999995</v>
      </c>
      <c r="K168" s="11">
        <f t="shared" si="89"/>
        <v>2536.7959999999998</v>
      </c>
      <c r="L168" s="11">
        <f t="shared" si="89"/>
        <v>0</v>
      </c>
      <c r="M168" s="11">
        <f t="shared" si="89"/>
        <v>861.70399999999995</v>
      </c>
      <c r="N168" s="11">
        <f t="shared" si="89"/>
        <v>0</v>
      </c>
      <c r="O168" s="11">
        <f t="shared" si="89"/>
        <v>0</v>
      </c>
      <c r="P168" s="11">
        <f t="shared" si="89"/>
        <v>0</v>
      </c>
      <c r="Q168" s="11">
        <f t="shared" si="88"/>
        <v>0</v>
      </c>
    </row>
    <row r="169" spans="2:17" s="5" customFormat="1" ht="10.95" customHeight="1">
      <c r="B169" s="60"/>
      <c r="C169" s="13" t="s">
        <v>23</v>
      </c>
      <c r="D169" s="14"/>
      <c r="E169" s="15"/>
      <c r="F169" s="16"/>
      <c r="G169" s="17">
        <f t="shared" si="84"/>
        <v>11898.5</v>
      </c>
      <c r="H169" s="18">
        <v>8500</v>
      </c>
      <c r="I169" s="17">
        <f t="shared" si="85"/>
        <v>11036.796</v>
      </c>
      <c r="J169" s="17">
        <f t="shared" si="86"/>
        <v>861.70399999999995</v>
      </c>
      <c r="K169" s="17">
        <v>2536.7959999999998</v>
      </c>
      <c r="L169" s="17">
        <v>0</v>
      </c>
      <c r="M169" s="17">
        <v>861.70399999999995</v>
      </c>
      <c r="N169" s="17">
        <v>0</v>
      </c>
      <c r="O169" s="17">
        <v>0</v>
      </c>
      <c r="P169" s="17">
        <v>0</v>
      </c>
      <c r="Q169" s="17">
        <f t="shared" si="88"/>
        <v>0</v>
      </c>
    </row>
    <row r="170" spans="2:17" s="4" customFormat="1" ht="17.25" customHeight="1">
      <c r="B170" s="73" t="s">
        <v>265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5"/>
    </row>
    <row r="171" spans="2:17" s="5" customFormat="1" ht="21.6" customHeight="1">
      <c r="B171" s="57">
        <v>58</v>
      </c>
      <c r="C171" s="20" t="s">
        <v>133</v>
      </c>
      <c r="D171" s="8" t="s">
        <v>229</v>
      </c>
      <c r="E171" s="9" t="s">
        <v>30</v>
      </c>
      <c r="F171" s="10">
        <f>G171</f>
        <v>438677.18699999998</v>
      </c>
      <c r="G171" s="11">
        <f t="shared" ref="G171:G190" si="90">H171+J171+K171+Q171</f>
        <v>438677.18699999998</v>
      </c>
      <c r="H171" s="35">
        <f>H172</f>
        <v>86833.94</v>
      </c>
      <c r="I171" s="22">
        <f t="shared" ref="I171:I190" si="91">H171+K171</f>
        <v>112422.387</v>
      </c>
      <c r="J171" s="11">
        <f t="shared" ref="J171:J190" si="92">SUM(L171:P171)</f>
        <v>195918.8</v>
      </c>
      <c r="K171" s="11">
        <f t="shared" ref="K171:Q171" si="93">SUM(K172)</f>
        <v>25588.447</v>
      </c>
      <c r="L171" s="11">
        <f t="shared" si="93"/>
        <v>52625</v>
      </c>
      <c r="M171" s="11">
        <f t="shared" si="93"/>
        <v>24637</v>
      </c>
      <c r="N171" s="11">
        <f t="shared" si="93"/>
        <v>42819</v>
      </c>
      <c r="O171" s="11">
        <f t="shared" si="93"/>
        <v>35068.800000000003</v>
      </c>
      <c r="P171" s="11">
        <f t="shared" si="93"/>
        <v>40769</v>
      </c>
      <c r="Q171" s="11">
        <f t="shared" si="93"/>
        <v>130336</v>
      </c>
    </row>
    <row r="172" spans="2:17" s="5" customFormat="1" ht="10.95" customHeight="1">
      <c r="B172" s="60"/>
      <c r="C172" s="13" t="s">
        <v>23</v>
      </c>
      <c r="D172" s="14"/>
      <c r="E172" s="15"/>
      <c r="F172" s="16"/>
      <c r="G172" s="17">
        <f t="shared" si="90"/>
        <v>438677.18699999998</v>
      </c>
      <c r="H172" s="18">
        <v>86833.94</v>
      </c>
      <c r="I172" s="17">
        <f t="shared" si="91"/>
        <v>112422.387</v>
      </c>
      <c r="J172" s="17">
        <f t="shared" si="92"/>
        <v>195918.8</v>
      </c>
      <c r="K172" s="17">
        <v>25588.447</v>
      </c>
      <c r="L172" s="17">
        <f>51125+1500</f>
        <v>52625</v>
      </c>
      <c r="M172" s="17">
        <f>26137-1500</f>
        <v>24637</v>
      </c>
      <c r="N172" s="17">
        <v>42819</v>
      </c>
      <c r="O172" s="17">
        <v>35068.800000000003</v>
      </c>
      <c r="P172" s="17">
        <v>40769</v>
      </c>
      <c r="Q172" s="17">
        <v>130336</v>
      </c>
    </row>
    <row r="173" spans="2:17" s="5" customFormat="1" ht="21.6" customHeight="1">
      <c r="B173" s="57">
        <v>59</v>
      </c>
      <c r="C173" s="20" t="s">
        <v>134</v>
      </c>
      <c r="D173" s="8" t="s">
        <v>229</v>
      </c>
      <c r="E173" s="9" t="s">
        <v>135</v>
      </c>
      <c r="F173" s="10">
        <f>G173</f>
        <v>153280.37400000001</v>
      </c>
      <c r="G173" s="11">
        <f t="shared" si="90"/>
        <v>153280.37400000001</v>
      </c>
      <c r="H173" s="35">
        <f>H174</f>
        <v>70747.873999999996</v>
      </c>
      <c r="I173" s="22">
        <f t="shared" si="91"/>
        <v>80910.373999999996</v>
      </c>
      <c r="J173" s="11">
        <f t="shared" si="92"/>
        <v>72370</v>
      </c>
      <c r="K173" s="11">
        <f t="shared" ref="K173:Q173" si="94">SUM(K174:K174)</f>
        <v>10162.5</v>
      </c>
      <c r="L173" s="11">
        <f t="shared" si="94"/>
        <v>16660</v>
      </c>
      <c r="M173" s="11">
        <f t="shared" si="94"/>
        <v>38460</v>
      </c>
      <c r="N173" s="11">
        <f t="shared" si="94"/>
        <v>6900</v>
      </c>
      <c r="O173" s="11">
        <f t="shared" si="94"/>
        <v>5000</v>
      </c>
      <c r="P173" s="11">
        <f t="shared" si="94"/>
        <v>5350</v>
      </c>
      <c r="Q173" s="11">
        <f t="shared" si="94"/>
        <v>0</v>
      </c>
    </row>
    <row r="174" spans="2:17" s="5" customFormat="1" ht="10.95" customHeight="1">
      <c r="B174" s="60"/>
      <c r="C174" s="13" t="s">
        <v>23</v>
      </c>
      <c r="D174" s="14"/>
      <c r="E174" s="15"/>
      <c r="F174" s="16"/>
      <c r="G174" s="17">
        <f t="shared" si="90"/>
        <v>153280.37400000001</v>
      </c>
      <c r="H174" s="18">
        <f>71247.874-500</f>
        <v>70747.873999999996</v>
      </c>
      <c r="I174" s="17">
        <f t="shared" si="91"/>
        <v>80910.373999999996</v>
      </c>
      <c r="J174" s="17">
        <f t="shared" si="92"/>
        <v>72370</v>
      </c>
      <c r="K174" s="17">
        <v>10162.5</v>
      </c>
      <c r="L174" s="17">
        <f>17360-500-200</f>
        <v>16660</v>
      </c>
      <c r="M174" s="17">
        <f>39060-600</f>
        <v>38460</v>
      </c>
      <c r="N174" s="17">
        <v>6900</v>
      </c>
      <c r="O174" s="17">
        <v>5000</v>
      </c>
      <c r="P174" s="17">
        <v>5350</v>
      </c>
      <c r="Q174" s="17">
        <v>0</v>
      </c>
    </row>
    <row r="175" spans="2:17" s="5" customFormat="1" ht="21.6" customHeight="1">
      <c r="B175" s="57">
        <v>60</v>
      </c>
      <c r="C175" s="20" t="s">
        <v>136</v>
      </c>
      <c r="D175" s="8" t="s">
        <v>121</v>
      </c>
      <c r="E175" s="9" t="s">
        <v>30</v>
      </c>
      <c r="F175" s="10">
        <f>G175</f>
        <v>81708.5</v>
      </c>
      <c r="G175" s="11">
        <f t="shared" si="90"/>
        <v>81708.5</v>
      </c>
      <c r="H175" s="35">
        <f>H176+H177</f>
        <v>12822.7</v>
      </c>
      <c r="I175" s="22">
        <f t="shared" si="91"/>
        <v>14408.5</v>
      </c>
      <c r="J175" s="11">
        <f t="shared" si="92"/>
        <v>41800</v>
      </c>
      <c r="K175" s="11">
        <f t="shared" ref="K175:Q175" si="95">SUM(K176:K177)</f>
        <v>1585.8</v>
      </c>
      <c r="L175" s="11">
        <f t="shared" si="95"/>
        <v>2500</v>
      </c>
      <c r="M175" s="11">
        <f t="shared" si="95"/>
        <v>4600</v>
      </c>
      <c r="N175" s="11">
        <f t="shared" si="95"/>
        <v>3500</v>
      </c>
      <c r="O175" s="11">
        <f t="shared" si="95"/>
        <v>4000</v>
      </c>
      <c r="P175" s="11">
        <f t="shared" si="95"/>
        <v>27200</v>
      </c>
      <c r="Q175" s="11">
        <f t="shared" si="95"/>
        <v>25500</v>
      </c>
    </row>
    <row r="176" spans="2:17" s="5" customFormat="1" ht="10.95" customHeight="1">
      <c r="B176" s="60"/>
      <c r="C176" s="13" t="s">
        <v>23</v>
      </c>
      <c r="D176" s="14"/>
      <c r="E176" s="15"/>
      <c r="F176" s="16"/>
      <c r="G176" s="17">
        <f t="shared" si="90"/>
        <v>80668.5</v>
      </c>
      <c r="H176" s="18">
        <v>11782.7</v>
      </c>
      <c r="I176" s="17">
        <f t="shared" si="91"/>
        <v>13368.5</v>
      </c>
      <c r="J176" s="17">
        <f t="shared" si="92"/>
        <v>41800</v>
      </c>
      <c r="K176" s="17">
        <v>1585.8</v>
      </c>
      <c r="L176" s="17">
        <v>2500</v>
      </c>
      <c r="M176" s="17">
        <v>4600</v>
      </c>
      <c r="N176" s="17">
        <v>3500</v>
      </c>
      <c r="O176" s="17">
        <v>4000</v>
      </c>
      <c r="P176" s="17">
        <v>27200</v>
      </c>
      <c r="Q176" s="17">
        <v>25500</v>
      </c>
    </row>
    <row r="177" spans="2:17" s="5" customFormat="1" ht="10.95" customHeight="1">
      <c r="B177" s="60"/>
      <c r="C177" s="13" t="s">
        <v>69</v>
      </c>
      <c r="D177" s="14"/>
      <c r="E177" s="15"/>
      <c r="F177" s="16"/>
      <c r="G177" s="17">
        <f t="shared" si="90"/>
        <v>1040</v>
      </c>
      <c r="H177" s="18">
        <v>1040</v>
      </c>
      <c r="I177" s="17">
        <f t="shared" si="91"/>
        <v>1040</v>
      </c>
      <c r="J177" s="17">
        <f t="shared" si="92"/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f>SUM(O177:O177)</f>
        <v>0</v>
      </c>
    </row>
    <row r="178" spans="2:17" s="5" customFormat="1" ht="24" customHeight="1">
      <c r="B178" s="57">
        <v>61</v>
      </c>
      <c r="C178" s="20" t="s">
        <v>137</v>
      </c>
      <c r="D178" s="8" t="s">
        <v>229</v>
      </c>
      <c r="E178" s="9" t="s">
        <v>138</v>
      </c>
      <c r="F178" s="10">
        <f>G178</f>
        <v>109155.80499999999</v>
      </c>
      <c r="G178" s="11">
        <f t="shared" si="90"/>
        <v>109155.80499999999</v>
      </c>
      <c r="H178" s="35">
        <f>H179+H180</f>
        <v>50155.805</v>
      </c>
      <c r="I178" s="22">
        <f t="shared" si="91"/>
        <v>52785.805</v>
      </c>
      <c r="J178" s="11">
        <f t="shared" si="92"/>
        <v>56370</v>
      </c>
      <c r="K178" s="11">
        <f t="shared" ref="K178:Q178" si="96">SUM(K179:K180)</f>
        <v>2630</v>
      </c>
      <c r="L178" s="11">
        <f t="shared" si="96"/>
        <v>2070</v>
      </c>
      <c r="M178" s="11">
        <f t="shared" si="96"/>
        <v>3200</v>
      </c>
      <c r="N178" s="11">
        <f t="shared" si="96"/>
        <v>50100</v>
      </c>
      <c r="O178" s="11">
        <f t="shared" si="96"/>
        <v>1000</v>
      </c>
      <c r="P178" s="11">
        <f t="shared" si="96"/>
        <v>0</v>
      </c>
      <c r="Q178" s="11">
        <f t="shared" si="96"/>
        <v>0</v>
      </c>
    </row>
    <row r="179" spans="2:17" s="5" customFormat="1" ht="10.95" customHeight="1">
      <c r="B179" s="60"/>
      <c r="C179" s="13" t="s">
        <v>23</v>
      </c>
      <c r="D179" s="14"/>
      <c r="E179" s="15"/>
      <c r="F179" s="16"/>
      <c r="G179" s="17">
        <f t="shared" si="90"/>
        <v>84968.804999999993</v>
      </c>
      <c r="H179" s="18">
        <v>50155.805</v>
      </c>
      <c r="I179" s="17">
        <f t="shared" si="91"/>
        <v>52785.805</v>
      </c>
      <c r="J179" s="17">
        <f t="shared" si="92"/>
        <v>32183</v>
      </c>
      <c r="K179" s="17">
        <v>2630</v>
      </c>
      <c r="L179" s="17">
        <v>2070</v>
      </c>
      <c r="M179" s="17">
        <v>3200</v>
      </c>
      <c r="N179" s="17">
        <v>25913</v>
      </c>
      <c r="O179" s="17">
        <v>1000</v>
      </c>
      <c r="P179" s="17">
        <v>0</v>
      </c>
      <c r="Q179" s="17">
        <v>0</v>
      </c>
    </row>
    <row r="180" spans="2:17" s="5" customFormat="1" ht="10.95" customHeight="1">
      <c r="B180" s="60"/>
      <c r="C180" s="13" t="s">
        <v>36</v>
      </c>
      <c r="D180" s="14"/>
      <c r="E180" s="15"/>
      <c r="F180" s="16"/>
      <c r="G180" s="17">
        <f t="shared" si="90"/>
        <v>24187</v>
      </c>
      <c r="H180" s="18">
        <v>0</v>
      </c>
      <c r="I180" s="17">
        <f t="shared" si="91"/>
        <v>0</v>
      </c>
      <c r="J180" s="17">
        <f t="shared" si="92"/>
        <v>24187</v>
      </c>
      <c r="K180" s="17">
        <v>0</v>
      </c>
      <c r="L180" s="17">
        <v>0</v>
      </c>
      <c r="M180" s="17">
        <v>0</v>
      </c>
      <c r="N180" s="17">
        <v>24187</v>
      </c>
      <c r="O180" s="17">
        <v>0</v>
      </c>
      <c r="P180" s="17">
        <v>0</v>
      </c>
      <c r="Q180" s="17">
        <f t="shared" ref="Q180:Q186" si="97">SUM(O180:O180)</f>
        <v>0</v>
      </c>
    </row>
    <row r="181" spans="2:17" s="4" customFormat="1" ht="23.4" customHeight="1">
      <c r="B181" s="57">
        <v>62</v>
      </c>
      <c r="C181" s="20" t="s">
        <v>139</v>
      </c>
      <c r="D181" s="8" t="s">
        <v>229</v>
      </c>
      <c r="E181" s="9" t="s">
        <v>30</v>
      </c>
      <c r="F181" s="10">
        <f>G181</f>
        <v>148302.677</v>
      </c>
      <c r="G181" s="11">
        <f t="shared" si="90"/>
        <v>148302.677</v>
      </c>
      <c r="H181" s="35">
        <f>H182</f>
        <v>68929.676999999996</v>
      </c>
      <c r="I181" s="22">
        <f t="shared" si="91"/>
        <v>69052.676999999996</v>
      </c>
      <c r="J181" s="11">
        <f t="shared" si="92"/>
        <v>67250</v>
      </c>
      <c r="K181" s="11">
        <f>SUM(K182:K182)</f>
        <v>123</v>
      </c>
      <c r="L181" s="11">
        <f t="shared" ref="L181:Q181" si="98">SUM(L182:L182)</f>
        <v>10050</v>
      </c>
      <c r="M181" s="11">
        <f t="shared" si="98"/>
        <v>2200</v>
      </c>
      <c r="N181" s="11">
        <f t="shared" si="98"/>
        <v>23450</v>
      </c>
      <c r="O181" s="11">
        <f t="shared" si="98"/>
        <v>19550</v>
      </c>
      <c r="P181" s="11">
        <f t="shared" si="98"/>
        <v>12000</v>
      </c>
      <c r="Q181" s="11">
        <f t="shared" si="98"/>
        <v>12000</v>
      </c>
    </row>
    <row r="182" spans="2:17" s="4" customFormat="1" ht="10.95" customHeight="1">
      <c r="B182" s="60"/>
      <c r="C182" s="13" t="s">
        <v>23</v>
      </c>
      <c r="D182" s="14"/>
      <c r="E182" s="15"/>
      <c r="F182" s="16"/>
      <c r="G182" s="17">
        <f t="shared" si="90"/>
        <v>148302.677</v>
      </c>
      <c r="H182" s="17">
        <v>68929.676999999996</v>
      </c>
      <c r="I182" s="17">
        <f t="shared" si="91"/>
        <v>69052.676999999996</v>
      </c>
      <c r="J182" s="17">
        <f t="shared" si="92"/>
        <v>67250</v>
      </c>
      <c r="K182" s="17">
        <v>123</v>
      </c>
      <c r="L182" s="17">
        <v>10050</v>
      </c>
      <c r="M182" s="17">
        <v>2200</v>
      </c>
      <c r="N182" s="17">
        <v>23450</v>
      </c>
      <c r="O182" s="17">
        <v>19550</v>
      </c>
      <c r="P182" s="17">
        <v>12000</v>
      </c>
      <c r="Q182" s="17">
        <v>12000</v>
      </c>
    </row>
    <row r="183" spans="2:17" s="5" customFormat="1" ht="22.2" customHeight="1">
      <c r="B183" s="57">
        <v>63</v>
      </c>
      <c r="C183" s="20" t="s">
        <v>140</v>
      </c>
      <c r="D183" s="8" t="s">
        <v>230</v>
      </c>
      <c r="E183" s="9" t="s">
        <v>80</v>
      </c>
      <c r="F183" s="10">
        <f>G183</f>
        <v>11653</v>
      </c>
      <c r="G183" s="11">
        <f t="shared" si="90"/>
        <v>11653</v>
      </c>
      <c r="H183" s="35">
        <f>H184</f>
        <v>9153</v>
      </c>
      <c r="I183" s="22">
        <f t="shared" si="91"/>
        <v>9153</v>
      </c>
      <c r="J183" s="11">
        <f t="shared" si="92"/>
        <v>2500</v>
      </c>
      <c r="K183" s="11">
        <f t="shared" ref="K183:P183" si="99">SUM(K184)</f>
        <v>0</v>
      </c>
      <c r="L183" s="11">
        <f t="shared" si="99"/>
        <v>500</v>
      </c>
      <c r="M183" s="11">
        <f t="shared" si="99"/>
        <v>1000</v>
      </c>
      <c r="N183" s="11">
        <f t="shared" si="99"/>
        <v>1000</v>
      </c>
      <c r="O183" s="11">
        <f t="shared" si="99"/>
        <v>0</v>
      </c>
      <c r="P183" s="11">
        <f t="shared" si="99"/>
        <v>0</v>
      </c>
      <c r="Q183" s="11">
        <f t="shared" si="97"/>
        <v>0</v>
      </c>
    </row>
    <row r="184" spans="2:17" s="5" customFormat="1" ht="10.95" customHeight="1">
      <c r="B184" s="60"/>
      <c r="C184" s="13" t="s">
        <v>23</v>
      </c>
      <c r="D184" s="14"/>
      <c r="E184" s="15"/>
      <c r="F184" s="16"/>
      <c r="G184" s="17">
        <f t="shared" si="90"/>
        <v>11653</v>
      </c>
      <c r="H184" s="18">
        <v>9153</v>
      </c>
      <c r="I184" s="17">
        <f t="shared" si="91"/>
        <v>9153</v>
      </c>
      <c r="J184" s="17">
        <f t="shared" si="92"/>
        <v>2500</v>
      </c>
      <c r="K184" s="17">
        <v>0</v>
      </c>
      <c r="L184" s="17">
        <v>500</v>
      </c>
      <c r="M184" s="17">
        <v>1000</v>
      </c>
      <c r="N184" s="17">
        <v>1000</v>
      </c>
      <c r="O184" s="17">
        <v>0</v>
      </c>
      <c r="P184" s="17">
        <v>0</v>
      </c>
      <c r="Q184" s="17">
        <f t="shared" si="97"/>
        <v>0</v>
      </c>
    </row>
    <row r="185" spans="2:17" s="5" customFormat="1" ht="33" customHeight="1">
      <c r="B185" s="57">
        <v>64</v>
      </c>
      <c r="C185" s="20" t="s">
        <v>141</v>
      </c>
      <c r="D185" s="8" t="s">
        <v>121</v>
      </c>
      <c r="E185" s="9" t="s">
        <v>63</v>
      </c>
      <c r="F185" s="10">
        <f>G185</f>
        <v>17542</v>
      </c>
      <c r="G185" s="11">
        <f t="shared" si="90"/>
        <v>17542</v>
      </c>
      <c r="H185" s="35">
        <f>H186</f>
        <v>15882</v>
      </c>
      <c r="I185" s="22">
        <f t="shared" si="91"/>
        <v>15882</v>
      </c>
      <c r="J185" s="11">
        <f t="shared" si="92"/>
        <v>1660</v>
      </c>
      <c r="K185" s="11">
        <f t="shared" ref="K185:P185" si="100">SUM(K186:K186)</f>
        <v>0</v>
      </c>
      <c r="L185" s="11">
        <f t="shared" si="100"/>
        <v>0</v>
      </c>
      <c r="M185" s="11">
        <f t="shared" si="100"/>
        <v>0</v>
      </c>
      <c r="N185" s="11">
        <f t="shared" si="100"/>
        <v>1660</v>
      </c>
      <c r="O185" s="11">
        <f t="shared" si="100"/>
        <v>0</v>
      </c>
      <c r="P185" s="11">
        <f t="shared" si="100"/>
        <v>0</v>
      </c>
      <c r="Q185" s="11">
        <f t="shared" si="97"/>
        <v>0</v>
      </c>
    </row>
    <row r="186" spans="2:17" s="5" customFormat="1" ht="10.95" customHeight="1">
      <c r="B186" s="60"/>
      <c r="C186" s="13" t="s">
        <v>23</v>
      </c>
      <c r="D186" s="14"/>
      <c r="E186" s="15"/>
      <c r="F186" s="16"/>
      <c r="G186" s="17">
        <f t="shared" si="90"/>
        <v>17542</v>
      </c>
      <c r="H186" s="18">
        <v>15882</v>
      </c>
      <c r="I186" s="17">
        <f t="shared" si="91"/>
        <v>15882</v>
      </c>
      <c r="J186" s="17">
        <f t="shared" si="92"/>
        <v>1660</v>
      </c>
      <c r="K186" s="17">
        <v>0</v>
      </c>
      <c r="L186" s="17">
        <v>0</v>
      </c>
      <c r="M186" s="17">
        <v>0</v>
      </c>
      <c r="N186" s="17">
        <v>1660</v>
      </c>
      <c r="O186" s="17">
        <v>0</v>
      </c>
      <c r="P186" s="17">
        <v>0</v>
      </c>
      <c r="Q186" s="17">
        <f t="shared" si="97"/>
        <v>0</v>
      </c>
    </row>
    <row r="187" spans="2:17" s="5" customFormat="1" ht="23.25" customHeight="1">
      <c r="B187" s="57">
        <v>65</v>
      </c>
      <c r="C187" s="20" t="s">
        <v>143</v>
      </c>
      <c r="D187" s="8" t="s">
        <v>142</v>
      </c>
      <c r="E187" s="28">
        <v>2018</v>
      </c>
      <c r="F187" s="10">
        <f>G187</f>
        <v>40000</v>
      </c>
      <c r="G187" s="11">
        <f t="shared" si="90"/>
        <v>40000</v>
      </c>
      <c r="H187" s="35">
        <f>H188</f>
        <v>0</v>
      </c>
      <c r="I187" s="22">
        <f t="shared" si="91"/>
        <v>0</v>
      </c>
      <c r="J187" s="11">
        <f t="shared" si="92"/>
        <v>40000</v>
      </c>
      <c r="K187" s="11">
        <f t="shared" ref="K187:P187" si="101">SUM(K188)</f>
        <v>0</v>
      </c>
      <c r="L187" s="11">
        <f t="shared" si="101"/>
        <v>0</v>
      </c>
      <c r="M187" s="11">
        <f t="shared" si="101"/>
        <v>0</v>
      </c>
      <c r="N187" s="11">
        <f t="shared" si="101"/>
        <v>0</v>
      </c>
      <c r="O187" s="11">
        <f t="shared" si="101"/>
        <v>40000</v>
      </c>
      <c r="P187" s="11">
        <f t="shared" si="101"/>
        <v>0</v>
      </c>
      <c r="Q187" s="11">
        <f>SUM(Q188)</f>
        <v>0</v>
      </c>
    </row>
    <row r="188" spans="2:17" s="5" customFormat="1" ht="10.95" customHeight="1">
      <c r="B188" s="60"/>
      <c r="C188" s="13" t="s">
        <v>23</v>
      </c>
      <c r="D188" s="14"/>
      <c r="E188" s="15"/>
      <c r="F188" s="16"/>
      <c r="G188" s="17">
        <f t="shared" si="90"/>
        <v>40000</v>
      </c>
      <c r="H188" s="18">
        <v>0</v>
      </c>
      <c r="I188" s="17">
        <f t="shared" si="91"/>
        <v>0</v>
      </c>
      <c r="J188" s="17">
        <f t="shared" si="92"/>
        <v>40000</v>
      </c>
      <c r="K188" s="17">
        <v>0</v>
      </c>
      <c r="L188" s="17">
        <v>0</v>
      </c>
      <c r="M188" s="17">
        <v>0</v>
      </c>
      <c r="N188" s="17">
        <v>0</v>
      </c>
      <c r="O188" s="17">
        <v>40000</v>
      </c>
      <c r="P188" s="17">
        <v>0</v>
      </c>
      <c r="Q188" s="17">
        <v>0</v>
      </c>
    </row>
    <row r="189" spans="2:17" s="5" customFormat="1" ht="21" customHeight="1">
      <c r="B189" s="57">
        <v>66</v>
      </c>
      <c r="C189" s="45" t="s">
        <v>107</v>
      </c>
      <c r="D189" s="8" t="s">
        <v>121</v>
      </c>
      <c r="E189" s="9" t="s">
        <v>74</v>
      </c>
      <c r="F189" s="10">
        <f>G189</f>
        <v>4893.7</v>
      </c>
      <c r="G189" s="11">
        <f t="shared" si="90"/>
        <v>4893.7</v>
      </c>
      <c r="H189" s="35">
        <f>H190</f>
        <v>0</v>
      </c>
      <c r="I189" s="22">
        <f t="shared" si="91"/>
        <v>812.7</v>
      </c>
      <c r="J189" s="11">
        <f t="shared" si="92"/>
        <v>4081</v>
      </c>
      <c r="K189" s="11">
        <f t="shared" ref="K189:P189" si="102">SUM(K190)</f>
        <v>812.7</v>
      </c>
      <c r="L189" s="11">
        <f t="shared" si="102"/>
        <v>4081</v>
      </c>
      <c r="M189" s="11">
        <f t="shared" si="102"/>
        <v>0</v>
      </c>
      <c r="N189" s="11">
        <f t="shared" si="102"/>
        <v>0</v>
      </c>
      <c r="O189" s="11">
        <f t="shared" si="102"/>
        <v>0</v>
      </c>
      <c r="P189" s="11">
        <f t="shared" si="102"/>
        <v>0</v>
      </c>
      <c r="Q189" s="11">
        <f>SUM(O189:O189)</f>
        <v>0</v>
      </c>
    </row>
    <row r="190" spans="2:17" s="5" customFormat="1" ht="10.95" customHeight="1">
      <c r="B190" s="60"/>
      <c r="C190" s="13" t="s">
        <v>23</v>
      </c>
      <c r="D190" s="14"/>
      <c r="E190" s="15"/>
      <c r="F190" s="16"/>
      <c r="G190" s="17">
        <f t="shared" si="90"/>
        <v>4893.7</v>
      </c>
      <c r="H190" s="18">
        <v>0</v>
      </c>
      <c r="I190" s="17">
        <f t="shared" si="91"/>
        <v>812.7</v>
      </c>
      <c r="J190" s="17">
        <f t="shared" si="92"/>
        <v>4081</v>
      </c>
      <c r="K190" s="17">
        <v>812.7</v>
      </c>
      <c r="L190" s="17">
        <v>4081</v>
      </c>
      <c r="M190" s="17">
        <v>0</v>
      </c>
      <c r="N190" s="17">
        <v>0</v>
      </c>
      <c r="O190" s="17">
        <v>0</v>
      </c>
      <c r="P190" s="17">
        <v>0</v>
      </c>
      <c r="Q190" s="17">
        <f>SUM(O190:O190)</f>
        <v>0</v>
      </c>
    </row>
    <row r="191" spans="2:17" s="4" customFormat="1" ht="18" customHeight="1">
      <c r="B191" s="67" t="s">
        <v>264</v>
      </c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9"/>
    </row>
    <row r="192" spans="2:17" s="4" customFormat="1" ht="23.4" customHeight="1">
      <c r="B192" s="57">
        <v>67</v>
      </c>
      <c r="C192" s="7" t="s">
        <v>146</v>
      </c>
      <c r="D192" s="8" t="s">
        <v>121</v>
      </c>
      <c r="E192" s="28">
        <v>2015</v>
      </c>
      <c r="F192" s="10">
        <f>G192</f>
        <v>9300</v>
      </c>
      <c r="G192" s="11">
        <f t="shared" ref="G192:G197" si="103">H192+J192+K192+Q192</f>
        <v>9300</v>
      </c>
      <c r="H192" s="35">
        <f>H193</f>
        <v>0</v>
      </c>
      <c r="I192" s="22">
        <f t="shared" ref="I192:I197" si="104">H192+K192</f>
        <v>0</v>
      </c>
      <c r="J192" s="11">
        <f t="shared" ref="J192:J197" si="105">SUM(L192:P192)</f>
        <v>9300</v>
      </c>
      <c r="K192" s="11">
        <f t="shared" ref="K192:P192" si="106">SUM(K193)</f>
        <v>0</v>
      </c>
      <c r="L192" s="11">
        <f t="shared" si="106"/>
        <v>2300</v>
      </c>
      <c r="M192" s="11">
        <f t="shared" si="106"/>
        <v>0</v>
      </c>
      <c r="N192" s="11">
        <f t="shared" si="106"/>
        <v>0</v>
      </c>
      <c r="O192" s="11">
        <f t="shared" si="106"/>
        <v>2000</v>
      </c>
      <c r="P192" s="11">
        <f t="shared" si="106"/>
        <v>5000</v>
      </c>
      <c r="Q192" s="22">
        <v>0</v>
      </c>
    </row>
    <row r="193" spans="2:17" s="4" customFormat="1" ht="12.6" customHeight="1">
      <c r="B193" s="60"/>
      <c r="C193" s="13" t="s">
        <v>23</v>
      </c>
      <c r="D193" s="14"/>
      <c r="E193" s="15"/>
      <c r="F193" s="16"/>
      <c r="G193" s="17">
        <f t="shared" si="103"/>
        <v>9300</v>
      </c>
      <c r="H193" s="18">
        <v>0</v>
      </c>
      <c r="I193" s="17">
        <f t="shared" si="104"/>
        <v>0</v>
      </c>
      <c r="J193" s="17">
        <f t="shared" si="105"/>
        <v>9300</v>
      </c>
      <c r="K193" s="17">
        <v>0</v>
      </c>
      <c r="L193" s="17">
        <v>2300</v>
      </c>
      <c r="M193" s="17">
        <v>0</v>
      </c>
      <c r="N193" s="17">
        <v>0</v>
      </c>
      <c r="O193" s="17">
        <v>2000</v>
      </c>
      <c r="P193" s="17">
        <v>5000</v>
      </c>
      <c r="Q193" s="17">
        <v>0</v>
      </c>
    </row>
    <row r="194" spans="2:17" s="4" customFormat="1" ht="32.4" customHeight="1">
      <c r="B194" s="57">
        <v>68</v>
      </c>
      <c r="C194" s="51" t="s">
        <v>273</v>
      </c>
      <c r="D194" s="8" t="s">
        <v>121</v>
      </c>
      <c r="E194" s="28" t="s">
        <v>145</v>
      </c>
      <c r="F194" s="10">
        <f>G194</f>
        <v>1050</v>
      </c>
      <c r="G194" s="11">
        <f t="shared" si="103"/>
        <v>1050</v>
      </c>
      <c r="H194" s="35">
        <f>H195</f>
        <v>0</v>
      </c>
      <c r="I194" s="22">
        <f t="shared" si="104"/>
        <v>0</v>
      </c>
      <c r="J194" s="11">
        <f t="shared" si="105"/>
        <v>1050</v>
      </c>
      <c r="K194" s="11">
        <f t="shared" ref="K194:P194" si="107">SUM(K195)</f>
        <v>0</v>
      </c>
      <c r="L194" s="11">
        <f t="shared" si="107"/>
        <v>350</v>
      </c>
      <c r="M194" s="11">
        <f t="shared" si="107"/>
        <v>650</v>
      </c>
      <c r="N194" s="11">
        <f t="shared" si="107"/>
        <v>50</v>
      </c>
      <c r="O194" s="11">
        <f t="shared" si="107"/>
        <v>0</v>
      </c>
      <c r="P194" s="11">
        <f t="shared" si="107"/>
        <v>0</v>
      </c>
      <c r="Q194" s="11">
        <f t="shared" ref="Q194:Q197" si="108">SUM(O194:O194)</f>
        <v>0</v>
      </c>
    </row>
    <row r="195" spans="2:17" s="4" customFormat="1" ht="12.6" customHeight="1">
      <c r="B195" s="60"/>
      <c r="C195" s="13" t="s">
        <v>23</v>
      </c>
      <c r="D195" s="14"/>
      <c r="E195" s="15"/>
      <c r="F195" s="16"/>
      <c r="G195" s="17">
        <f t="shared" si="103"/>
        <v>1050</v>
      </c>
      <c r="H195" s="18">
        <v>0</v>
      </c>
      <c r="I195" s="17">
        <f t="shared" si="104"/>
        <v>0</v>
      </c>
      <c r="J195" s="17">
        <f t="shared" si="105"/>
        <v>1050</v>
      </c>
      <c r="K195" s="17">
        <v>0</v>
      </c>
      <c r="L195" s="17">
        <v>350</v>
      </c>
      <c r="M195" s="17">
        <v>650</v>
      </c>
      <c r="N195" s="17">
        <v>50</v>
      </c>
      <c r="O195" s="17">
        <v>0</v>
      </c>
      <c r="P195" s="17">
        <v>0</v>
      </c>
      <c r="Q195" s="17">
        <f t="shared" si="108"/>
        <v>0</v>
      </c>
    </row>
    <row r="196" spans="2:17" s="4" customFormat="1" ht="34.950000000000003" customHeight="1">
      <c r="B196" s="57">
        <v>69</v>
      </c>
      <c r="C196" s="51" t="s">
        <v>274</v>
      </c>
      <c r="D196" s="8" t="s">
        <v>121</v>
      </c>
      <c r="E196" s="28" t="s">
        <v>145</v>
      </c>
      <c r="F196" s="10">
        <f>G196</f>
        <v>3100</v>
      </c>
      <c r="G196" s="11">
        <f t="shared" si="103"/>
        <v>3100</v>
      </c>
      <c r="H196" s="35">
        <f>H197</f>
        <v>0</v>
      </c>
      <c r="I196" s="22">
        <f t="shared" si="104"/>
        <v>0</v>
      </c>
      <c r="J196" s="11">
        <f t="shared" si="105"/>
        <v>3100</v>
      </c>
      <c r="K196" s="11">
        <f t="shared" ref="K196:P196" si="109">SUM(K197)</f>
        <v>0</v>
      </c>
      <c r="L196" s="11">
        <f t="shared" si="109"/>
        <v>400</v>
      </c>
      <c r="M196" s="11">
        <f t="shared" si="109"/>
        <v>1700</v>
      </c>
      <c r="N196" s="11">
        <f t="shared" si="109"/>
        <v>1000</v>
      </c>
      <c r="O196" s="11">
        <f t="shared" si="109"/>
        <v>0</v>
      </c>
      <c r="P196" s="11">
        <f t="shared" si="109"/>
        <v>0</v>
      </c>
      <c r="Q196" s="11">
        <f t="shared" si="108"/>
        <v>0</v>
      </c>
    </row>
    <row r="197" spans="2:17" s="4" customFormat="1" ht="12.6" customHeight="1">
      <c r="B197" s="60"/>
      <c r="C197" s="13" t="s">
        <v>23</v>
      </c>
      <c r="D197" s="14"/>
      <c r="E197" s="15"/>
      <c r="F197" s="16"/>
      <c r="G197" s="17">
        <f t="shared" si="103"/>
        <v>3100</v>
      </c>
      <c r="H197" s="18">
        <v>0</v>
      </c>
      <c r="I197" s="17">
        <f t="shared" si="104"/>
        <v>0</v>
      </c>
      <c r="J197" s="17">
        <f t="shared" si="105"/>
        <v>3100</v>
      </c>
      <c r="K197" s="17">
        <v>0</v>
      </c>
      <c r="L197" s="17">
        <v>400</v>
      </c>
      <c r="M197" s="17">
        <v>1700</v>
      </c>
      <c r="N197" s="17">
        <v>1000</v>
      </c>
      <c r="O197" s="17">
        <v>0</v>
      </c>
      <c r="P197" s="17">
        <v>0</v>
      </c>
      <c r="Q197" s="17">
        <f t="shared" si="108"/>
        <v>0</v>
      </c>
    </row>
    <row r="198" spans="2:17" s="4" customFormat="1" ht="18" customHeight="1">
      <c r="B198" s="67" t="s">
        <v>263</v>
      </c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9"/>
    </row>
    <row r="199" spans="2:17" s="5" customFormat="1" ht="22.95" customHeight="1">
      <c r="B199" s="57">
        <v>70</v>
      </c>
      <c r="C199" s="7" t="s">
        <v>147</v>
      </c>
      <c r="D199" s="8" t="s">
        <v>220</v>
      </c>
      <c r="E199" s="9" t="s">
        <v>112</v>
      </c>
      <c r="F199" s="10">
        <f>G199</f>
        <v>56813.826000000001</v>
      </c>
      <c r="G199" s="11">
        <f t="shared" ref="G199:G205" si="110">H199+J199+K199+Q199</f>
        <v>56813.826000000001</v>
      </c>
      <c r="H199" s="35">
        <f>H200+H201</f>
        <v>42760.775999999998</v>
      </c>
      <c r="I199" s="22">
        <f t="shared" ref="I199:I205" si="111">H199+K199</f>
        <v>43063.826000000001</v>
      </c>
      <c r="J199" s="11">
        <f t="shared" ref="J199:J205" si="112">SUM(L199:P199)</f>
        <v>13750</v>
      </c>
      <c r="K199" s="11">
        <f>SUM(K200:K201)</f>
        <v>303.05</v>
      </c>
      <c r="L199" s="11">
        <f t="shared" ref="L199:Q199" si="113">SUM(L200)</f>
        <v>800</v>
      </c>
      <c r="M199" s="11">
        <f t="shared" si="113"/>
        <v>2600</v>
      </c>
      <c r="N199" s="11">
        <f t="shared" si="113"/>
        <v>4200</v>
      </c>
      <c r="O199" s="11">
        <f t="shared" si="113"/>
        <v>3000</v>
      </c>
      <c r="P199" s="11">
        <f t="shared" si="113"/>
        <v>3150</v>
      </c>
      <c r="Q199" s="11">
        <f t="shared" si="113"/>
        <v>0</v>
      </c>
    </row>
    <row r="200" spans="2:17" s="5" customFormat="1" ht="12.6" customHeight="1">
      <c r="B200" s="60"/>
      <c r="C200" s="13" t="s">
        <v>23</v>
      </c>
      <c r="D200" s="14"/>
      <c r="E200" s="15"/>
      <c r="F200" s="16"/>
      <c r="G200" s="17">
        <f t="shared" si="110"/>
        <v>51763.606</v>
      </c>
      <c r="H200" s="18">
        <v>37710.555999999997</v>
      </c>
      <c r="I200" s="17">
        <f t="shared" si="111"/>
        <v>38013.606</v>
      </c>
      <c r="J200" s="17">
        <f t="shared" si="112"/>
        <v>13750</v>
      </c>
      <c r="K200" s="17">
        <v>303.05</v>
      </c>
      <c r="L200" s="17">
        <v>800</v>
      </c>
      <c r="M200" s="17">
        <v>2600</v>
      </c>
      <c r="N200" s="17">
        <v>4200</v>
      </c>
      <c r="O200" s="17">
        <v>3000</v>
      </c>
      <c r="P200" s="17">
        <v>3150</v>
      </c>
      <c r="Q200" s="17">
        <v>0</v>
      </c>
    </row>
    <row r="201" spans="2:17" s="4" customFormat="1" ht="12.6" customHeight="1">
      <c r="B201" s="60"/>
      <c r="C201" s="13" t="s">
        <v>197</v>
      </c>
      <c r="D201" s="14"/>
      <c r="E201" s="15"/>
      <c r="F201" s="16"/>
      <c r="G201" s="17">
        <f t="shared" si="110"/>
        <v>5050.22</v>
      </c>
      <c r="H201" s="18">
        <v>5050.22</v>
      </c>
      <c r="I201" s="17">
        <f t="shared" si="111"/>
        <v>5050.22</v>
      </c>
      <c r="J201" s="17">
        <f t="shared" si="112"/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/>
      <c r="Q201" s="17">
        <f>SUM(O201:O201)</f>
        <v>0</v>
      </c>
    </row>
    <row r="202" spans="2:17" s="5" customFormat="1" ht="44.25" customHeight="1">
      <c r="B202" s="57">
        <v>71</v>
      </c>
      <c r="C202" s="7" t="s">
        <v>150</v>
      </c>
      <c r="D202" s="8" t="s">
        <v>252</v>
      </c>
      <c r="E202" s="9" t="s">
        <v>243</v>
      </c>
      <c r="F202" s="10">
        <f>G202</f>
        <v>14047.324999999999</v>
      </c>
      <c r="G202" s="11">
        <f t="shared" si="110"/>
        <v>14047.324999999999</v>
      </c>
      <c r="H202" s="35">
        <f>H203</f>
        <v>181.80099999999999</v>
      </c>
      <c r="I202" s="22">
        <f t="shared" si="111"/>
        <v>997.32500000000005</v>
      </c>
      <c r="J202" s="11">
        <f t="shared" si="112"/>
        <v>11150</v>
      </c>
      <c r="K202" s="11">
        <f>SUM(K203:K203)</f>
        <v>815.524</v>
      </c>
      <c r="L202" s="11">
        <f t="shared" ref="L202:Q202" si="114">SUM(L203)</f>
        <v>2600</v>
      </c>
      <c r="M202" s="11">
        <f t="shared" si="114"/>
        <v>2550</v>
      </c>
      <c r="N202" s="11">
        <f t="shared" si="114"/>
        <v>2000</v>
      </c>
      <c r="O202" s="11">
        <f t="shared" si="114"/>
        <v>2000</v>
      </c>
      <c r="P202" s="11">
        <f t="shared" si="114"/>
        <v>2000</v>
      </c>
      <c r="Q202" s="11">
        <f t="shared" si="114"/>
        <v>1900</v>
      </c>
    </row>
    <row r="203" spans="2:17" s="5" customFormat="1" ht="12.6" customHeight="1">
      <c r="B203" s="60"/>
      <c r="C203" s="13" t="s">
        <v>23</v>
      </c>
      <c r="D203" s="14"/>
      <c r="E203" s="15"/>
      <c r="F203" s="16"/>
      <c r="G203" s="17">
        <f t="shared" si="110"/>
        <v>14047.324999999999</v>
      </c>
      <c r="H203" s="18">
        <v>181.80099999999999</v>
      </c>
      <c r="I203" s="17">
        <f t="shared" si="111"/>
        <v>997.32500000000005</v>
      </c>
      <c r="J203" s="17">
        <f t="shared" si="112"/>
        <v>11150</v>
      </c>
      <c r="K203" s="17">
        <v>815.524</v>
      </c>
      <c r="L203" s="17">
        <v>2600</v>
      </c>
      <c r="M203" s="17">
        <v>2550</v>
      </c>
      <c r="N203" s="17">
        <v>2000</v>
      </c>
      <c r="O203" s="17">
        <v>2000</v>
      </c>
      <c r="P203" s="17">
        <v>2000</v>
      </c>
      <c r="Q203" s="17">
        <v>1900</v>
      </c>
    </row>
    <row r="204" spans="2:17" s="5" customFormat="1" ht="21.6" customHeight="1">
      <c r="B204" s="57">
        <v>72</v>
      </c>
      <c r="C204" s="7" t="s">
        <v>148</v>
      </c>
      <c r="D204" s="8" t="s">
        <v>149</v>
      </c>
      <c r="E204" s="9" t="s">
        <v>63</v>
      </c>
      <c r="F204" s="10">
        <f>G204</f>
        <v>2511.33</v>
      </c>
      <c r="G204" s="11">
        <f t="shared" si="110"/>
        <v>2511.33</v>
      </c>
      <c r="H204" s="35">
        <f>H205</f>
        <v>1831.33</v>
      </c>
      <c r="I204" s="22">
        <f t="shared" si="111"/>
        <v>2261.33</v>
      </c>
      <c r="J204" s="11">
        <f t="shared" si="112"/>
        <v>250</v>
      </c>
      <c r="K204" s="11">
        <f>SUM(K205:K205)</f>
        <v>430</v>
      </c>
      <c r="L204" s="11">
        <f>SUM(L205)</f>
        <v>0</v>
      </c>
      <c r="M204" s="11">
        <f>SUM(M205)</f>
        <v>0</v>
      </c>
      <c r="N204" s="11">
        <f>SUM(N205)</f>
        <v>250</v>
      </c>
      <c r="O204" s="11">
        <f>SUM(O205)</f>
        <v>0</v>
      </c>
      <c r="P204" s="11">
        <f>SUM(P205)</f>
        <v>0</v>
      </c>
      <c r="Q204" s="11">
        <f>SUM(O204:O204)</f>
        <v>0</v>
      </c>
    </row>
    <row r="205" spans="2:17" s="5" customFormat="1" ht="12.6" customHeight="1">
      <c r="B205" s="60"/>
      <c r="C205" s="13" t="s">
        <v>23</v>
      </c>
      <c r="D205" s="14"/>
      <c r="E205" s="15"/>
      <c r="F205" s="16"/>
      <c r="G205" s="17">
        <f t="shared" si="110"/>
        <v>2511.33</v>
      </c>
      <c r="H205" s="18">
        <v>1831.33</v>
      </c>
      <c r="I205" s="17">
        <f t="shared" si="111"/>
        <v>2261.33</v>
      </c>
      <c r="J205" s="17">
        <f t="shared" si="112"/>
        <v>250</v>
      </c>
      <c r="K205" s="17">
        <v>430</v>
      </c>
      <c r="L205" s="17">
        <v>0</v>
      </c>
      <c r="M205" s="17">
        <v>0</v>
      </c>
      <c r="N205" s="17">
        <v>250</v>
      </c>
      <c r="O205" s="17">
        <v>0</v>
      </c>
      <c r="P205" s="17">
        <v>0</v>
      </c>
      <c r="Q205" s="17">
        <f>SUM(O205:O205)</f>
        <v>0</v>
      </c>
    </row>
    <row r="206" spans="2:17" s="5" customFormat="1" ht="21" customHeight="1">
      <c r="B206" s="64" t="s">
        <v>278</v>
      </c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6"/>
    </row>
    <row r="207" spans="2:17" s="5" customFormat="1" ht="21.6" customHeight="1">
      <c r="B207" s="57">
        <v>73</v>
      </c>
      <c r="C207" s="20" t="s">
        <v>152</v>
      </c>
      <c r="D207" s="8" t="s">
        <v>121</v>
      </c>
      <c r="E207" s="9" t="s">
        <v>30</v>
      </c>
      <c r="F207" s="10">
        <f>G207</f>
        <v>67287.203000000009</v>
      </c>
      <c r="G207" s="11">
        <f>H207+J207+K207+Q207</f>
        <v>67287.203000000009</v>
      </c>
      <c r="H207" s="35">
        <f>H208</f>
        <v>28364.203000000001</v>
      </c>
      <c r="I207" s="22">
        <f>H207+K207</f>
        <v>30139.203000000001</v>
      </c>
      <c r="J207" s="11">
        <f>SUM(L207:P207)</f>
        <v>27048</v>
      </c>
      <c r="K207" s="11">
        <f t="shared" ref="K207:Q207" si="115">SUM(K208)</f>
        <v>1775</v>
      </c>
      <c r="L207" s="11">
        <f t="shared" si="115"/>
        <v>4098</v>
      </c>
      <c r="M207" s="11">
        <f t="shared" si="115"/>
        <v>4000</v>
      </c>
      <c r="N207" s="11">
        <f t="shared" si="115"/>
        <v>4660</v>
      </c>
      <c r="O207" s="11">
        <f t="shared" si="115"/>
        <v>7690</v>
      </c>
      <c r="P207" s="11">
        <f t="shared" si="115"/>
        <v>6600</v>
      </c>
      <c r="Q207" s="11">
        <f t="shared" si="115"/>
        <v>10100</v>
      </c>
    </row>
    <row r="208" spans="2:17" s="5" customFormat="1" ht="12.6" customHeight="1">
      <c r="B208" s="60"/>
      <c r="C208" s="13" t="s">
        <v>23</v>
      </c>
      <c r="D208" s="14"/>
      <c r="E208" s="15"/>
      <c r="F208" s="16"/>
      <c r="G208" s="17">
        <f>H208+J208+K208+Q208</f>
        <v>67287.203000000009</v>
      </c>
      <c r="H208" s="18">
        <v>28364.203000000001</v>
      </c>
      <c r="I208" s="17">
        <f>H208+K208</f>
        <v>30139.203000000001</v>
      </c>
      <c r="J208" s="17">
        <f>SUM(L208:P208)</f>
        <v>27048</v>
      </c>
      <c r="K208" s="17">
        <v>1775</v>
      </c>
      <c r="L208" s="17">
        <v>4098</v>
      </c>
      <c r="M208" s="17">
        <v>4000</v>
      </c>
      <c r="N208" s="17">
        <v>4660</v>
      </c>
      <c r="O208" s="17">
        <v>7690</v>
      </c>
      <c r="P208" s="17">
        <v>6600</v>
      </c>
      <c r="Q208" s="17">
        <v>10100</v>
      </c>
    </row>
    <row r="209" spans="1:172" s="5" customFormat="1" ht="22.95" customHeight="1">
      <c r="B209" s="57">
        <v>74</v>
      </c>
      <c r="C209" s="20" t="s">
        <v>153</v>
      </c>
      <c r="D209" s="8" t="s">
        <v>104</v>
      </c>
      <c r="E209" s="9" t="s">
        <v>32</v>
      </c>
      <c r="F209" s="10">
        <f>G209</f>
        <v>25721.132999999998</v>
      </c>
      <c r="G209" s="11">
        <f>H209+J209+K209+Q209</f>
        <v>25721.132999999998</v>
      </c>
      <c r="H209" s="35">
        <f>H210</f>
        <v>20984.920999999998</v>
      </c>
      <c r="I209" s="22">
        <f>H209+K209</f>
        <v>23353.026999999998</v>
      </c>
      <c r="J209" s="11">
        <f>SUM(L209:P209)</f>
        <v>2368.1060000000002</v>
      </c>
      <c r="K209" s="11">
        <f t="shared" ref="K209:P209" si="116">SUM(K210:K210)</f>
        <v>2368.1060000000002</v>
      </c>
      <c r="L209" s="11">
        <f t="shared" si="116"/>
        <v>2368.1060000000002</v>
      </c>
      <c r="M209" s="11">
        <f t="shared" si="116"/>
        <v>0</v>
      </c>
      <c r="N209" s="11">
        <f t="shared" si="116"/>
        <v>0</v>
      </c>
      <c r="O209" s="11">
        <f t="shared" si="116"/>
        <v>0</v>
      </c>
      <c r="P209" s="11">
        <f t="shared" si="116"/>
        <v>0</v>
      </c>
      <c r="Q209" s="11">
        <f>SUM(O209:O209)</f>
        <v>0</v>
      </c>
    </row>
    <row r="210" spans="1:172" s="5" customFormat="1" ht="12.6" customHeight="1">
      <c r="B210" s="60"/>
      <c r="C210" s="13" t="s">
        <v>23</v>
      </c>
      <c r="D210" s="14"/>
      <c r="E210" s="15"/>
      <c r="F210" s="16"/>
      <c r="G210" s="17">
        <f>H210+J210+K210+Q210</f>
        <v>25721.132999999998</v>
      </c>
      <c r="H210" s="18">
        <v>20984.920999999998</v>
      </c>
      <c r="I210" s="17">
        <f>H210+K210</f>
        <v>23353.026999999998</v>
      </c>
      <c r="J210" s="17">
        <f>SUM(L210:P210)</f>
        <v>2368.1060000000002</v>
      </c>
      <c r="K210" s="17">
        <v>2368.1060000000002</v>
      </c>
      <c r="L210" s="17">
        <v>2368.1060000000002</v>
      </c>
      <c r="M210" s="17">
        <v>0</v>
      </c>
      <c r="N210" s="17">
        <v>0</v>
      </c>
      <c r="O210" s="17">
        <v>0</v>
      </c>
      <c r="P210" s="17">
        <v>0</v>
      </c>
      <c r="Q210" s="17">
        <f>SUM(O210:O210)</f>
        <v>0</v>
      </c>
    </row>
    <row r="211" spans="1:172" s="4" customFormat="1" ht="17.25" customHeight="1">
      <c r="B211" s="64" t="s">
        <v>262</v>
      </c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6"/>
    </row>
    <row r="212" spans="1:172" s="30" customFormat="1" ht="21.6" customHeight="1">
      <c r="A212" s="4"/>
      <c r="B212" s="57">
        <v>75</v>
      </c>
      <c r="C212" s="7" t="s">
        <v>154</v>
      </c>
      <c r="D212" s="8" t="s">
        <v>155</v>
      </c>
      <c r="E212" s="9" t="s">
        <v>156</v>
      </c>
      <c r="F212" s="10">
        <f>G212-G215</f>
        <v>811680.62300000002</v>
      </c>
      <c r="G212" s="11">
        <f t="shared" ref="G212:G244" si="117">H212+J212+K212+Q212</f>
        <v>824650.62300000002</v>
      </c>
      <c r="H212" s="35">
        <f>H213+H214+H215</f>
        <v>774055.93400000001</v>
      </c>
      <c r="I212" s="22">
        <f t="shared" ref="I212:I244" si="118">H212+K212</f>
        <v>802626.00699999998</v>
      </c>
      <c r="J212" s="11">
        <f t="shared" ref="J212:J240" si="119">SUM(L212:P212)</f>
        <v>22024.616000000002</v>
      </c>
      <c r="K212" s="11">
        <f t="shared" ref="K212:P212" si="120">SUM(K213:K215)</f>
        <v>28570.073</v>
      </c>
      <c r="L212" s="11">
        <f t="shared" si="120"/>
        <v>14441.468000000001</v>
      </c>
      <c r="M212" s="11">
        <f t="shared" si="120"/>
        <v>3791.5680000000002</v>
      </c>
      <c r="N212" s="11">
        <f t="shared" si="120"/>
        <v>3791.58</v>
      </c>
      <c r="O212" s="11">
        <f t="shared" si="120"/>
        <v>0</v>
      </c>
      <c r="P212" s="11">
        <f t="shared" si="120"/>
        <v>0</v>
      </c>
      <c r="Q212" s="11">
        <f t="shared" ref="Q212:Q218" si="121">SUM(O212:O212)</f>
        <v>0</v>
      </c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</row>
    <row r="213" spans="1:172" s="5" customFormat="1" ht="10.95" customHeight="1">
      <c r="B213" s="60"/>
      <c r="C213" s="13" t="s">
        <v>23</v>
      </c>
      <c r="D213" s="14"/>
      <c r="E213" s="15"/>
      <c r="F213" s="16"/>
      <c r="G213" s="17">
        <f t="shared" si="117"/>
        <v>711749.62300000002</v>
      </c>
      <c r="H213" s="18">
        <v>661154.93400000001</v>
      </c>
      <c r="I213" s="17">
        <f t="shared" si="118"/>
        <v>689725.00699999998</v>
      </c>
      <c r="J213" s="17">
        <f t="shared" si="119"/>
        <v>22024.616000000002</v>
      </c>
      <c r="K213" s="17">
        <v>28570.073</v>
      </c>
      <c r="L213" s="17">
        <v>14441.468000000001</v>
      </c>
      <c r="M213" s="17">
        <v>3791.5680000000002</v>
      </c>
      <c r="N213" s="17">
        <v>3791.58</v>
      </c>
      <c r="O213" s="17">
        <v>0</v>
      </c>
      <c r="P213" s="17">
        <v>0</v>
      </c>
      <c r="Q213" s="17">
        <f t="shared" si="121"/>
        <v>0</v>
      </c>
    </row>
    <row r="214" spans="1:172" s="5" customFormat="1" ht="10.95" customHeight="1">
      <c r="B214" s="60"/>
      <c r="C214" s="13" t="s">
        <v>36</v>
      </c>
      <c r="D214" s="14"/>
      <c r="E214" s="15"/>
      <c r="F214" s="16"/>
      <c r="G214" s="17">
        <f t="shared" si="117"/>
        <v>99931</v>
      </c>
      <c r="H214" s="18">
        <v>99931</v>
      </c>
      <c r="I214" s="17">
        <f t="shared" si="118"/>
        <v>99931</v>
      </c>
      <c r="J214" s="17">
        <f t="shared" si="119"/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f t="shared" si="121"/>
        <v>0</v>
      </c>
    </row>
    <row r="215" spans="1:172" s="5" customFormat="1" ht="10.95" customHeight="1">
      <c r="B215" s="60"/>
      <c r="C215" s="13" t="s">
        <v>207</v>
      </c>
      <c r="D215" s="14"/>
      <c r="E215" s="15"/>
      <c r="F215" s="16"/>
      <c r="G215" s="17">
        <f t="shared" si="117"/>
        <v>12970</v>
      </c>
      <c r="H215" s="18">
        <v>12970</v>
      </c>
      <c r="I215" s="17">
        <f t="shared" si="118"/>
        <v>12970</v>
      </c>
      <c r="J215" s="17">
        <f t="shared" si="119"/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f t="shared" si="121"/>
        <v>0</v>
      </c>
    </row>
    <row r="216" spans="1:172" s="5" customFormat="1" ht="21.6" customHeight="1">
      <c r="B216" s="57">
        <v>76</v>
      </c>
      <c r="C216" s="20" t="s">
        <v>158</v>
      </c>
      <c r="D216" s="8" t="s">
        <v>231</v>
      </c>
      <c r="E216" s="9" t="s">
        <v>112</v>
      </c>
      <c r="F216" s="10">
        <f>G216</f>
        <v>45740.99</v>
      </c>
      <c r="G216" s="11">
        <f t="shared" si="117"/>
        <v>45740.99</v>
      </c>
      <c r="H216" s="35">
        <f>H217+H218</f>
        <v>17230.900000000001</v>
      </c>
      <c r="I216" s="22">
        <f t="shared" si="118"/>
        <v>19490.161</v>
      </c>
      <c r="J216" s="11">
        <f t="shared" si="119"/>
        <v>26250.828999999998</v>
      </c>
      <c r="K216" s="11">
        <f t="shared" ref="K216:Q216" si="122">SUM(K217:K218)</f>
        <v>2259.261</v>
      </c>
      <c r="L216" s="11">
        <f t="shared" si="122"/>
        <v>8880.8289999999997</v>
      </c>
      <c r="M216" s="11">
        <f t="shared" si="122"/>
        <v>6370</v>
      </c>
      <c r="N216" s="11">
        <f t="shared" si="122"/>
        <v>5000</v>
      </c>
      <c r="O216" s="11">
        <f t="shared" si="122"/>
        <v>3000</v>
      </c>
      <c r="P216" s="11">
        <f t="shared" si="122"/>
        <v>3000</v>
      </c>
      <c r="Q216" s="11">
        <f t="shared" si="122"/>
        <v>0</v>
      </c>
    </row>
    <row r="217" spans="1:172" s="5" customFormat="1" ht="10.95" customHeight="1">
      <c r="B217" s="60"/>
      <c r="C217" s="13" t="s">
        <v>23</v>
      </c>
      <c r="D217" s="14"/>
      <c r="E217" s="15"/>
      <c r="F217" s="16"/>
      <c r="G217" s="17">
        <f t="shared" si="117"/>
        <v>39670.39</v>
      </c>
      <c r="H217" s="18">
        <v>13710.9</v>
      </c>
      <c r="I217" s="17">
        <f t="shared" si="118"/>
        <v>15022.960999999999</v>
      </c>
      <c r="J217" s="17">
        <f t="shared" si="119"/>
        <v>24647.429</v>
      </c>
      <c r="K217" s="17">
        <f>1688.064-343.574-32.429</f>
        <v>1312.0609999999999</v>
      </c>
      <c r="L217" s="17">
        <f>7245+32.429</f>
        <v>7277.4290000000001</v>
      </c>
      <c r="M217" s="17">
        <v>6370</v>
      </c>
      <c r="N217" s="17">
        <v>5000</v>
      </c>
      <c r="O217" s="17">
        <v>3000</v>
      </c>
      <c r="P217" s="17">
        <v>3000</v>
      </c>
      <c r="Q217" s="17">
        <v>0</v>
      </c>
    </row>
    <row r="218" spans="1:172" s="5" customFormat="1" ht="10.95" customHeight="1">
      <c r="B218" s="60"/>
      <c r="C218" s="13" t="s">
        <v>159</v>
      </c>
      <c r="D218" s="14"/>
      <c r="E218" s="15"/>
      <c r="F218" s="16"/>
      <c r="G218" s="17">
        <f t="shared" si="117"/>
        <v>6070.5999999999995</v>
      </c>
      <c r="H218" s="18">
        <v>3520</v>
      </c>
      <c r="I218" s="17">
        <f t="shared" si="118"/>
        <v>4467.2</v>
      </c>
      <c r="J218" s="17">
        <f t="shared" si="119"/>
        <v>1603.4</v>
      </c>
      <c r="K218" s="17">
        <f>2853.563-1906.363</f>
        <v>947.2</v>
      </c>
      <c r="L218" s="17">
        <v>1603.4</v>
      </c>
      <c r="M218" s="17">
        <v>0</v>
      </c>
      <c r="N218" s="17">
        <v>0</v>
      </c>
      <c r="O218" s="17">
        <v>0</v>
      </c>
      <c r="P218" s="17">
        <v>0</v>
      </c>
      <c r="Q218" s="17">
        <f t="shared" si="121"/>
        <v>0</v>
      </c>
    </row>
    <row r="219" spans="1:172" s="5" customFormat="1" ht="31.95" customHeight="1">
      <c r="B219" s="57">
        <v>77</v>
      </c>
      <c r="C219" s="7" t="s">
        <v>160</v>
      </c>
      <c r="D219" s="8" t="s">
        <v>161</v>
      </c>
      <c r="E219" s="9" t="s">
        <v>162</v>
      </c>
      <c r="F219" s="10">
        <f>G219</f>
        <v>48151.527000000002</v>
      </c>
      <c r="G219" s="11">
        <f t="shared" si="117"/>
        <v>48151.527000000002</v>
      </c>
      <c r="H219" s="35">
        <f>H220</f>
        <v>1047.694</v>
      </c>
      <c r="I219" s="22">
        <f t="shared" si="118"/>
        <v>14526.527</v>
      </c>
      <c r="J219" s="11">
        <f t="shared" si="119"/>
        <v>33625</v>
      </c>
      <c r="K219" s="11">
        <f t="shared" ref="K219:Q219" si="123">SUM(K220:K220)</f>
        <v>13478.833000000001</v>
      </c>
      <c r="L219" s="11">
        <f t="shared" si="123"/>
        <v>27335</v>
      </c>
      <c r="M219" s="11">
        <f t="shared" si="123"/>
        <v>160</v>
      </c>
      <c r="N219" s="11">
        <f t="shared" si="123"/>
        <v>1000</v>
      </c>
      <c r="O219" s="11">
        <f t="shared" si="123"/>
        <v>5130</v>
      </c>
      <c r="P219" s="11">
        <f t="shared" si="123"/>
        <v>0</v>
      </c>
      <c r="Q219" s="11">
        <f t="shared" si="123"/>
        <v>0</v>
      </c>
    </row>
    <row r="220" spans="1:172" s="4" customFormat="1" ht="10.95" customHeight="1">
      <c r="B220" s="60"/>
      <c r="C220" s="13" t="s">
        <v>23</v>
      </c>
      <c r="D220" s="14"/>
      <c r="E220" s="15"/>
      <c r="F220" s="16"/>
      <c r="G220" s="17">
        <f t="shared" si="117"/>
        <v>48151.527000000002</v>
      </c>
      <c r="H220" s="18">
        <v>1047.694</v>
      </c>
      <c r="I220" s="17">
        <f t="shared" si="118"/>
        <v>14526.527</v>
      </c>
      <c r="J220" s="17">
        <f t="shared" si="119"/>
        <v>33625</v>
      </c>
      <c r="K220" s="17">
        <v>13478.833000000001</v>
      </c>
      <c r="L220" s="17">
        <v>27335</v>
      </c>
      <c r="M220" s="17">
        <v>160</v>
      </c>
      <c r="N220" s="17">
        <v>1000</v>
      </c>
      <c r="O220" s="17">
        <v>5130</v>
      </c>
      <c r="P220" s="17">
        <v>0</v>
      </c>
      <c r="Q220" s="17">
        <v>0</v>
      </c>
    </row>
    <row r="221" spans="1:172" s="5" customFormat="1" ht="23.4" customHeight="1">
      <c r="B221" s="57">
        <v>78</v>
      </c>
      <c r="C221" s="7" t="s">
        <v>163</v>
      </c>
      <c r="D221" s="8" t="s">
        <v>155</v>
      </c>
      <c r="E221" s="9" t="s">
        <v>279</v>
      </c>
      <c r="F221" s="10">
        <f>G221</f>
        <v>119439.58199999999</v>
      </c>
      <c r="G221" s="11">
        <f t="shared" si="117"/>
        <v>119439.58199999999</v>
      </c>
      <c r="H221" s="35">
        <f>H222+H223+H224</f>
        <v>116941.837</v>
      </c>
      <c r="I221" s="22">
        <f t="shared" si="118"/>
        <v>116981.45699999999</v>
      </c>
      <c r="J221" s="11">
        <f t="shared" si="119"/>
        <v>2458.125</v>
      </c>
      <c r="K221" s="11">
        <f t="shared" ref="K221:P221" si="124">SUM(K222:K224)</f>
        <v>39.619999999999997</v>
      </c>
      <c r="L221" s="11">
        <f t="shared" si="124"/>
        <v>2457.5</v>
      </c>
      <c r="M221" s="11">
        <f t="shared" si="124"/>
        <v>0.5</v>
      </c>
      <c r="N221" s="11">
        <f t="shared" si="124"/>
        <v>0.125</v>
      </c>
      <c r="O221" s="11">
        <f t="shared" si="124"/>
        <v>0</v>
      </c>
      <c r="P221" s="11">
        <f t="shared" si="124"/>
        <v>0</v>
      </c>
      <c r="Q221" s="11">
        <f>SUM(O221:O221)</f>
        <v>0</v>
      </c>
    </row>
    <row r="222" spans="1:172" s="5" customFormat="1" ht="10.95" customHeight="1">
      <c r="B222" s="60"/>
      <c r="C222" s="13" t="s">
        <v>23</v>
      </c>
      <c r="D222" s="14"/>
      <c r="E222" s="15"/>
      <c r="F222" s="16"/>
      <c r="G222" s="17">
        <f t="shared" si="117"/>
        <v>77686.962</v>
      </c>
      <c r="H222" s="18">
        <v>75189.217000000004</v>
      </c>
      <c r="I222" s="17">
        <f t="shared" si="118"/>
        <v>75228.837</v>
      </c>
      <c r="J222" s="17">
        <f t="shared" si="119"/>
        <v>2458.125</v>
      </c>
      <c r="K222" s="17">
        <v>39.619999999999997</v>
      </c>
      <c r="L222" s="17">
        <v>2457.5</v>
      </c>
      <c r="M222" s="17">
        <v>0.5</v>
      </c>
      <c r="N222" s="17">
        <v>0.125</v>
      </c>
      <c r="O222" s="17">
        <v>0</v>
      </c>
      <c r="P222" s="17">
        <v>0</v>
      </c>
      <c r="Q222" s="17">
        <f>SUM(O222:O222)</f>
        <v>0</v>
      </c>
    </row>
    <row r="223" spans="1:172" s="5" customFormat="1" ht="10.95" customHeight="1">
      <c r="B223" s="60"/>
      <c r="C223" s="13" t="s">
        <v>36</v>
      </c>
      <c r="D223" s="14"/>
      <c r="E223" s="15"/>
      <c r="F223" s="16"/>
      <c r="G223" s="17">
        <f t="shared" si="117"/>
        <v>32065.62</v>
      </c>
      <c r="H223" s="18">
        <v>32065.62</v>
      </c>
      <c r="I223" s="17">
        <f t="shared" si="118"/>
        <v>32065.62</v>
      </c>
      <c r="J223" s="17">
        <f t="shared" si="119"/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f>SUM(O223:O223)</f>
        <v>0</v>
      </c>
    </row>
    <row r="224" spans="1:172" s="5" customFormat="1" ht="10.95" customHeight="1">
      <c r="B224" s="60"/>
      <c r="C224" s="13" t="s">
        <v>157</v>
      </c>
      <c r="D224" s="14"/>
      <c r="E224" s="15"/>
      <c r="F224" s="16"/>
      <c r="G224" s="17">
        <f t="shared" si="117"/>
        <v>9687</v>
      </c>
      <c r="H224" s="18">
        <v>9687</v>
      </c>
      <c r="I224" s="17">
        <f t="shared" si="118"/>
        <v>9687</v>
      </c>
      <c r="J224" s="17">
        <f t="shared" si="119"/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f>SUM(O224:O224)</f>
        <v>0</v>
      </c>
    </row>
    <row r="225" spans="2:17" s="5" customFormat="1" ht="32.4" customHeight="1">
      <c r="B225" s="57">
        <v>79</v>
      </c>
      <c r="C225" s="7" t="s">
        <v>164</v>
      </c>
      <c r="D225" s="8" t="s">
        <v>238</v>
      </c>
      <c r="E225" s="9" t="s">
        <v>90</v>
      </c>
      <c r="F225" s="10">
        <f>G225</f>
        <v>94271.252999999997</v>
      </c>
      <c r="G225" s="11">
        <f t="shared" si="117"/>
        <v>94271.252999999997</v>
      </c>
      <c r="H225" s="35">
        <f>H226+H227</f>
        <v>56934.972999999998</v>
      </c>
      <c r="I225" s="22">
        <f t="shared" si="118"/>
        <v>58541.252999999997</v>
      </c>
      <c r="J225" s="11">
        <f t="shared" si="119"/>
        <v>35730</v>
      </c>
      <c r="K225" s="11">
        <f t="shared" ref="K225:Q225" si="125">SUM(K226:K227)</f>
        <v>1606.2800000000002</v>
      </c>
      <c r="L225" s="11">
        <f t="shared" si="125"/>
        <v>4970</v>
      </c>
      <c r="M225" s="11">
        <f t="shared" si="125"/>
        <v>5500</v>
      </c>
      <c r="N225" s="11">
        <f t="shared" si="125"/>
        <v>16460</v>
      </c>
      <c r="O225" s="11">
        <f t="shared" si="125"/>
        <v>8700</v>
      </c>
      <c r="P225" s="11">
        <f t="shared" si="125"/>
        <v>100</v>
      </c>
      <c r="Q225" s="11">
        <f t="shared" si="125"/>
        <v>0</v>
      </c>
    </row>
    <row r="226" spans="2:17" s="5" customFormat="1" ht="10.95" customHeight="1">
      <c r="B226" s="60"/>
      <c r="C226" s="13" t="s">
        <v>23</v>
      </c>
      <c r="D226" s="14"/>
      <c r="E226" s="15"/>
      <c r="F226" s="16"/>
      <c r="G226" s="17">
        <f t="shared" si="117"/>
        <v>89471.252999999997</v>
      </c>
      <c r="H226" s="18">
        <v>52134.972999999998</v>
      </c>
      <c r="I226" s="17">
        <f t="shared" si="118"/>
        <v>53741.252999999997</v>
      </c>
      <c r="J226" s="17">
        <f t="shared" si="119"/>
        <v>35730</v>
      </c>
      <c r="K226" s="17">
        <f>1613.88-7.6</f>
        <v>1606.2800000000002</v>
      </c>
      <c r="L226" s="17">
        <f>5430-460</f>
        <v>4970</v>
      </c>
      <c r="M226" s="17">
        <f>6100-600</f>
        <v>5500</v>
      </c>
      <c r="N226" s="17">
        <f>19820-3360</f>
        <v>16460</v>
      </c>
      <c r="O226" s="17">
        <v>8700</v>
      </c>
      <c r="P226" s="17">
        <v>100</v>
      </c>
      <c r="Q226" s="17">
        <v>0</v>
      </c>
    </row>
    <row r="227" spans="2:17" s="5" customFormat="1" ht="10.199999999999999" hidden="1">
      <c r="B227" s="60"/>
      <c r="C227" s="13" t="s">
        <v>66</v>
      </c>
      <c r="D227" s="14"/>
      <c r="E227" s="15"/>
      <c r="F227" s="16"/>
      <c r="G227" s="17">
        <f t="shared" si="117"/>
        <v>4800</v>
      </c>
      <c r="H227" s="18">
        <v>4800</v>
      </c>
      <c r="I227" s="17">
        <f t="shared" si="118"/>
        <v>4800</v>
      </c>
      <c r="J227" s="17">
        <f t="shared" si="119"/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f>SUM(O227:O227)</f>
        <v>0</v>
      </c>
    </row>
    <row r="228" spans="2:17" s="5" customFormat="1" ht="22.95" customHeight="1">
      <c r="B228" s="57">
        <v>80</v>
      </c>
      <c r="C228" s="7" t="s">
        <v>170</v>
      </c>
      <c r="D228" s="8" t="s">
        <v>171</v>
      </c>
      <c r="E228" s="9" t="s">
        <v>172</v>
      </c>
      <c r="F228" s="10">
        <f>G228</f>
        <v>34738</v>
      </c>
      <c r="G228" s="11">
        <f t="shared" si="117"/>
        <v>34738</v>
      </c>
      <c r="H228" s="35">
        <f>H229</f>
        <v>3538</v>
      </c>
      <c r="I228" s="22">
        <f t="shared" si="118"/>
        <v>3538</v>
      </c>
      <c r="J228" s="11">
        <f>SUM(L228:P228)</f>
        <v>16200</v>
      </c>
      <c r="K228" s="11">
        <f>SUM(K229)</f>
        <v>0</v>
      </c>
      <c r="L228" s="11">
        <f t="shared" ref="L228:Q228" si="126">SUM(L229)</f>
        <v>200</v>
      </c>
      <c r="M228" s="11">
        <f t="shared" si="126"/>
        <v>1000</v>
      </c>
      <c r="N228" s="11">
        <f t="shared" si="126"/>
        <v>5000</v>
      </c>
      <c r="O228" s="11">
        <f t="shared" si="126"/>
        <v>5000</v>
      </c>
      <c r="P228" s="11">
        <f t="shared" si="126"/>
        <v>5000</v>
      </c>
      <c r="Q228" s="11">
        <f t="shared" si="126"/>
        <v>15000</v>
      </c>
    </row>
    <row r="229" spans="2:17" s="5" customFormat="1" ht="10.95" customHeight="1">
      <c r="B229" s="60"/>
      <c r="C229" s="13" t="s">
        <v>23</v>
      </c>
      <c r="D229" s="14"/>
      <c r="E229" s="15"/>
      <c r="F229" s="16"/>
      <c r="G229" s="17">
        <f t="shared" si="117"/>
        <v>34738</v>
      </c>
      <c r="H229" s="18">
        <v>3538</v>
      </c>
      <c r="I229" s="17">
        <f t="shared" si="118"/>
        <v>3538</v>
      </c>
      <c r="J229" s="17">
        <f>SUM(L229:P229)</f>
        <v>16200</v>
      </c>
      <c r="K229" s="17">
        <v>0</v>
      </c>
      <c r="L229" s="17">
        <v>200</v>
      </c>
      <c r="M229" s="17">
        <v>1000</v>
      </c>
      <c r="N229" s="17">
        <v>5000</v>
      </c>
      <c r="O229" s="17">
        <v>5000</v>
      </c>
      <c r="P229" s="17">
        <v>5000</v>
      </c>
      <c r="Q229" s="17">
        <v>15000</v>
      </c>
    </row>
    <row r="230" spans="2:17" s="5" customFormat="1" ht="22.95" customHeight="1">
      <c r="B230" s="57">
        <v>81</v>
      </c>
      <c r="C230" s="7" t="s">
        <v>165</v>
      </c>
      <c r="D230" s="8" t="s">
        <v>166</v>
      </c>
      <c r="E230" s="29" t="s">
        <v>167</v>
      </c>
      <c r="F230" s="10">
        <f>G230</f>
        <v>20000</v>
      </c>
      <c r="G230" s="11">
        <f t="shared" si="117"/>
        <v>20000</v>
      </c>
      <c r="H230" s="35">
        <f>H231+H232</f>
        <v>0</v>
      </c>
      <c r="I230" s="22">
        <f t="shared" si="118"/>
        <v>2873.058</v>
      </c>
      <c r="J230" s="11">
        <f t="shared" si="119"/>
        <v>17126.941999999999</v>
      </c>
      <c r="K230" s="11">
        <f>SUM(K231:K232)</f>
        <v>2873.058</v>
      </c>
      <c r="L230" s="11">
        <f t="shared" ref="L230:Q230" si="127">SUM(L231:L232)</f>
        <v>5126.942</v>
      </c>
      <c r="M230" s="11">
        <f t="shared" si="127"/>
        <v>2800</v>
      </c>
      <c r="N230" s="11">
        <f t="shared" si="127"/>
        <v>5200</v>
      </c>
      <c r="O230" s="11">
        <f t="shared" si="127"/>
        <v>4000</v>
      </c>
      <c r="P230" s="11">
        <f t="shared" si="127"/>
        <v>0</v>
      </c>
      <c r="Q230" s="11">
        <f t="shared" si="127"/>
        <v>0</v>
      </c>
    </row>
    <row r="231" spans="2:17" s="5" customFormat="1" ht="10.95" customHeight="1">
      <c r="B231" s="60"/>
      <c r="C231" s="13" t="s">
        <v>23</v>
      </c>
      <c r="D231" s="14"/>
      <c r="E231" s="15"/>
      <c r="F231" s="16"/>
      <c r="G231" s="17">
        <f t="shared" si="117"/>
        <v>2000</v>
      </c>
      <c r="H231" s="18">
        <v>0</v>
      </c>
      <c r="I231" s="17">
        <f t="shared" si="118"/>
        <v>287.30700000000002</v>
      </c>
      <c r="J231" s="17">
        <f t="shared" si="119"/>
        <v>1712.693</v>
      </c>
      <c r="K231" s="17">
        <f>400-112.693</f>
        <v>287.30700000000002</v>
      </c>
      <c r="L231" s="17">
        <f>400+112.693</f>
        <v>512.69299999999998</v>
      </c>
      <c r="M231" s="17">
        <v>400</v>
      </c>
      <c r="N231" s="17">
        <v>400</v>
      </c>
      <c r="O231" s="17">
        <v>400</v>
      </c>
      <c r="P231" s="17">
        <v>0</v>
      </c>
      <c r="Q231" s="17">
        <v>0</v>
      </c>
    </row>
    <row r="232" spans="2:17" s="5" customFormat="1" ht="10.95" customHeight="1">
      <c r="B232" s="60"/>
      <c r="C232" s="13" t="s">
        <v>249</v>
      </c>
      <c r="D232" s="14"/>
      <c r="E232" s="15"/>
      <c r="F232" s="16"/>
      <c r="G232" s="17">
        <f t="shared" si="117"/>
        <v>18000</v>
      </c>
      <c r="H232" s="18">
        <v>0</v>
      </c>
      <c r="I232" s="17">
        <f t="shared" si="118"/>
        <v>2585.7509999999997</v>
      </c>
      <c r="J232" s="17">
        <f t="shared" si="119"/>
        <v>15414.249</v>
      </c>
      <c r="K232" s="17">
        <f>3600-338.083-676.166</f>
        <v>2585.7509999999997</v>
      </c>
      <c r="L232" s="17">
        <f>3600+338.083+676.166</f>
        <v>4614.2489999999998</v>
      </c>
      <c r="M232" s="17">
        <f>3600-1200</f>
        <v>2400</v>
      </c>
      <c r="N232" s="17">
        <f>3600+1200</f>
        <v>4800</v>
      </c>
      <c r="O232" s="17">
        <v>3600</v>
      </c>
      <c r="P232" s="17">
        <v>0</v>
      </c>
      <c r="Q232" s="17">
        <v>0</v>
      </c>
    </row>
    <row r="233" spans="2:17" s="4" customFormat="1" ht="30" customHeight="1">
      <c r="B233" s="57">
        <v>82</v>
      </c>
      <c r="C233" s="20" t="s">
        <v>168</v>
      </c>
      <c r="D233" s="8" t="s">
        <v>169</v>
      </c>
      <c r="E233" s="9" t="s">
        <v>112</v>
      </c>
      <c r="F233" s="10">
        <f>G233</f>
        <v>16437.276000000002</v>
      </c>
      <c r="G233" s="11">
        <f t="shared" si="117"/>
        <v>16437.276000000002</v>
      </c>
      <c r="H233" s="35">
        <f>H234</f>
        <v>9522.5820000000003</v>
      </c>
      <c r="I233" s="22">
        <f t="shared" si="118"/>
        <v>10714.675999999999</v>
      </c>
      <c r="J233" s="11">
        <f t="shared" si="119"/>
        <v>5722.6</v>
      </c>
      <c r="K233" s="11">
        <f t="shared" ref="K233:Q233" si="128">SUM(K234)</f>
        <v>1192.0940000000001</v>
      </c>
      <c r="L233" s="11">
        <f t="shared" si="128"/>
        <v>612.6</v>
      </c>
      <c r="M233" s="11">
        <f t="shared" si="128"/>
        <v>1300</v>
      </c>
      <c r="N233" s="11">
        <f t="shared" si="128"/>
        <v>1500</v>
      </c>
      <c r="O233" s="11">
        <f t="shared" si="128"/>
        <v>1710</v>
      </c>
      <c r="P233" s="11">
        <f t="shared" si="128"/>
        <v>600</v>
      </c>
      <c r="Q233" s="11">
        <f t="shared" si="128"/>
        <v>0</v>
      </c>
    </row>
    <row r="234" spans="2:17" s="4" customFormat="1" ht="10.95" customHeight="1">
      <c r="B234" s="60"/>
      <c r="C234" s="13" t="s">
        <v>23</v>
      </c>
      <c r="D234" s="14"/>
      <c r="E234" s="15"/>
      <c r="F234" s="16"/>
      <c r="G234" s="17">
        <f t="shared" si="117"/>
        <v>16437.276000000002</v>
      </c>
      <c r="H234" s="18">
        <v>9522.5820000000003</v>
      </c>
      <c r="I234" s="17">
        <f t="shared" si="118"/>
        <v>10714.675999999999</v>
      </c>
      <c r="J234" s="17">
        <f t="shared" si="119"/>
        <v>5722.6</v>
      </c>
      <c r="K234" s="17">
        <f>1192.27-0.176</f>
        <v>1192.0940000000001</v>
      </c>
      <c r="L234" s="17">
        <v>612.6</v>
      </c>
      <c r="M234" s="17">
        <v>1300</v>
      </c>
      <c r="N234" s="17">
        <v>1500</v>
      </c>
      <c r="O234" s="17">
        <v>1710</v>
      </c>
      <c r="P234" s="17">
        <v>600</v>
      </c>
      <c r="Q234" s="17">
        <v>0</v>
      </c>
    </row>
    <row r="235" spans="2:17" s="5" customFormat="1" ht="21" customHeight="1">
      <c r="B235" s="57">
        <v>83</v>
      </c>
      <c r="C235" s="50" t="s">
        <v>258</v>
      </c>
      <c r="D235" s="8" t="s">
        <v>171</v>
      </c>
      <c r="E235" s="9" t="s">
        <v>44</v>
      </c>
      <c r="F235" s="10">
        <f>G235</f>
        <v>5350</v>
      </c>
      <c r="G235" s="11">
        <f t="shared" si="117"/>
        <v>5350</v>
      </c>
      <c r="H235" s="35">
        <f>H236</f>
        <v>0</v>
      </c>
      <c r="I235" s="22">
        <f t="shared" si="118"/>
        <v>0</v>
      </c>
      <c r="J235" s="11">
        <f t="shared" si="119"/>
        <v>5350</v>
      </c>
      <c r="K235" s="11">
        <f t="shared" ref="K235:Q235" si="129">SUM(K236)</f>
        <v>0</v>
      </c>
      <c r="L235" s="11">
        <f t="shared" si="129"/>
        <v>0</v>
      </c>
      <c r="M235" s="11">
        <f t="shared" si="129"/>
        <v>1350</v>
      </c>
      <c r="N235" s="11">
        <f t="shared" si="129"/>
        <v>4000</v>
      </c>
      <c r="O235" s="11">
        <f t="shared" si="129"/>
        <v>0</v>
      </c>
      <c r="P235" s="11">
        <f t="shared" si="129"/>
        <v>0</v>
      </c>
      <c r="Q235" s="11">
        <f t="shared" si="129"/>
        <v>0</v>
      </c>
    </row>
    <row r="236" spans="2:17" s="5" customFormat="1" ht="10.95" customHeight="1">
      <c r="B236" s="60"/>
      <c r="C236" s="13" t="s">
        <v>23</v>
      </c>
      <c r="D236" s="14"/>
      <c r="E236" s="15"/>
      <c r="F236" s="16"/>
      <c r="G236" s="17">
        <f t="shared" si="117"/>
        <v>5350</v>
      </c>
      <c r="H236" s="18">
        <v>0</v>
      </c>
      <c r="I236" s="17">
        <f t="shared" si="118"/>
        <v>0</v>
      </c>
      <c r="J236" s="17">
        <f t="shared" si="119"/>
        <v>5350</v>
      </c>
      <c r="K236" s="17">
        <v>0</v>
      </c>
      <c r="L236" s="17">
        <v>0</v>
      </c>
      <c r="M236" s="17">
        <v>1350</v>
      </c>
      <c r="N236" s="17">
        <v>4000</v>
      </c>
      <c r="O236" s="17">
        <v>0</v>
      </c>
      <c r="P236" s="17">
        <v>0</v>
      </c>
      <c r="Q236" s="17">
        <v>0</v>
      </c>
    </row>
    <row r="237" spans="2:17" s="5" customFormat="1" ht="22.95" customHeight="1">
      <c r="B237" s="57">
        <v>84</v>
      </c>
      <c r="C237" s="7" t="s">
        <v>175</v>
      </c>
      <c r="D237" s="8" t="s">
        <v>121</v>
      </c>
      <c r="E237" s="9" t="s">
        <v>176</v>
      </c>
      <c r="F237" s="10">
        <f>G237-G240</f>
        <v>20952.5</v>
      </c>
      <c r="G237" s="11">
        <f t="shared" si="117"/>
        <v>21096.5</v>
      </c>
      <c r="H237" s="35">
        <f>H238+H239+H240</f>
        <v>537.5</v>
      </c>
      <c r="I237" s="22">
        <f t="shared" si="118"/>
        <v>537.5</v>
      </c>
      <c r="J237" s="11">
        <f t="shared" si="119"/>
        <v>20559</v>
      </c>
      <c r="K237" s="11">
        <f t="shared" ref="K237:P237" si="130">SUM(K238:K240)</f>
        <v>0</v>
      </c>
      <c r="L237" s="11">
        <f t="shared" si="130"/>
        <v>115</v>
      </c>
      <c r="M237" s="35">
        <f t="shared" si="130"/>
        <v>20444</v>
      </c>
      <c r="N237" s="11">
        <f t="shared" si="130"/>
        <v>0</v>
      </c>
      <c r="O237" s="11">
        <f t="shared" si="130"/>
        <v>0</v>
      </c>
      <c r="P237" s="11">
        <f t="shared" si="130"/>
        <v>0</v>
      </c>
      <c r="Q237" s="11">
        <f>SUM(O237:O237)</f>
        <v>0</v>
      </c>
    </row>
    <row r="238" spans="2:17" s="5" customFormat="1" ht="10.95" customHeight="1">
      <c r="B238" s="60"/>
      <c r="C238" s="13" t="s">
        <v>23</v>
      </c>
      <c r="D238" s="14"/>
      <c r="E238" s="15"/>
      <c r="F238" s="16"/>
      <c r="G238" s="17">
        <f t="shared" si="117"/>
        <v>6952.5</v>
      </c>
      <c r="H238" s="18">
        <v>537.5</v>
      </c>
      <c r="I238" s="17">
        <f t="shared" si="118"/>
        <v>537.5</v>
      </c>
      <c r="J238" s="17">
        <f t="shared" si="119"/>
        <v>6415</v>
      </c>
      <c r="K238" s="17">
        <v>0</v>
      </c>
      <c r="L238" s="17">
        <v>115</v>
      </c>
      <c r="M238" s="31">
        <v>6300</v>
      </c>
      <c r="N238" s="17">
        <v>0</v>
      </c>
      <c r="O238" s="17">
        <v>0</v>
      </c>
      <c r="P238" s="17">
        <v>0</v>
      </c>
      <c r="Q238" s="17">
        <f>SUM(O238:O238)</f>
        <v>0</v>
      </c>
    </row>
    <row r="239" spans="2:17" s="5" customFormat="1" ht="10.95" customHeight="1">
      <c r="B239" s="60"/>
      <c r="C239" s="13" t="s">
        <v>36</v>
      </c>
      <c r="D239" s="14"/>
      <c r="E239" s="15"/>
      <c r="F239" s="16"/>
      <c r="G239" s="17">
        <f t="shared" si="117"/>
        <v>14000</v>
      </c>
      <c r="H239" s="18">
        <v>0</v>
      </c>
      <c r="I239" s="17">
        <f t="shared" si="118"/>
        <v>0</v>
      </c>
      <c r="J239" s="17">
        <f t="shared" si="119"/>
        <v>14000</v>
      </c>
      <c r="K239" s="17">
        <v>0</v>
      </c>
      <c r="L239" s="17">
        <v>0</v>
      </c>
      <c r="M239" s="31">
        <v>14000</v>
      </c>
      <c r="N239" s="17">
        <v>0</v>
      </c>
      <c r="O239" s="17">
        <v>0</v>
      </c>
      <c r="P239" s="17">
        <v>0</v>
      </c>
      <c r="Q239" s="17">
        <v>0</v>
      </c>
    </row>
    <row r="240" spans="2:17" s="4" customFormat="1" ht="10.95" customHeight="1">
      <c r="B240" s="60"/>
      <c r="C240" s="13" t="s">
        <v>177</v>
      </c>
      <c r="D240" s="14"/>
      <c r="E240" s="15"/>
      <c r="F240" s="16"/>
      <c r="G240" s="17">
        <f t="shared" si="117"/>
        <v>144</v>
      </c>
      <c r="H240" s="18">
        <v>0</v>
      </c>
      <c r="I240" s="17">
        <f t="shared" si="118"/>
        <v>0</v>
      </c>
      <c r="J240" s="17">
        <f t="shared" si="119"/>
        <v>144</v>
      </c>
      <c r="K240" s="17">
        <v>0</v>
      </c>
      <c r="L240" s="17">
        <v>0</v>
      </c>
      <c r="M240" s="17">
        <v>144</v>
      </c>
      <c r="N240" s="17">
        <v>0</v>
      </c>
      <c r="O240" s="17">
        <v>0</v>
      </c>
      <c r="P240" s="17">
        <v>0</v>
      </c>
      <c r="Q240" s="17">
        <f>SUM(O240:O240)</f>
        <v>0</v>
      </c>
    </row>
    <row r="241" spans="2:17" s="5" customFormat="1" ht="22.95" customHeight="1">
      <c r="B241" s="57">
        <v>85</v>
      </c>
      <c r="C241" s="7" t="s">
        <v>173</v>
      </c>
      <c r="D241" s="8" t="s">
        <v>171</v>
      </c>
      <c r="E241" s="29" t="s">
        <v>174</v>
      </c>
      <c r="F241" s="10">
        <f>G241</f>
        <v>4000</v>
      </c>
      <c r="G241" s="11">
        <f t="shared" si="117"/>
        <v>4000</v>
      </c>
      <c r="H241" s="35">
        <f>H242</f>
        <v>0</v>
      </c>
      <c r="I241" s="22">
        <f t="shared" si="118"/>
        <v>0</v>
      </c>
      <c r="J241" s="11">
        <f>SUM(L241:P241)</f>
        <v>4000</v>
      </c>
      <c r="K241" s="11">
        <f t="shared" ref="K241:Q241" si="131">SUM(K242:K242)</f>
        <v>0</v>
      </c>
      <c r="L241" s="11">
        <f t="shared" si="131"/>
        <v>0</v>
      </c>
      <c r="M241" s="11">
        <f t="shared" si="131"/>
        <v>0</v>
      </c>
      <c r="N241" s="11">
        <f t="shared" si="131"/>
        <v>0</v>
      </c>
      <c r="O241" s="11">
        <f t="shared" si="131"/>
        <v>2000</v>
      </c>
      <c r="P241" s="11">
        <f t="shared" si="131"/>
        <v>2000</v>
      </c>
      <c r="Q241" s="11">
        <f t="shared" si="131"/>
        <v>0</v>
      </c>
    </row>
    <row r="242" spans="2:17" s="5" customFormat="1" ht="10.95" customHeight="1">
      <c r="B242" s="60"/>
      <c r="C242" s="13" t="s">
        <v>23</v>
      </c>
      <c r="D242" s="14"/>
      <c r="E242" s="15"/>
      <c r="F242" s="16"/>
      <c r="G242" s="17">
        <f t="shared" si="117"/>
        <v>4000</v>
      </c>
      <c r="H242" s="18">
        <v>0</v>
      </c>
      <c r="I242" s="17">
        <f t="shared" si="118"/>
        <v>0</v>
      </c>
      <c r="J242" s="17">
        <f>SUM(L242:P242)</f>
        <v>4000</v>
      </c>
      <c r="K242" s="17">
        <v>0</v>
      </c>
      <c r="L242" s="17">
        <v>0</v>
      </c>
      <c r="M242" s="17">
        <v>0</v>
      </c>
      <c r="N242" s="17">
        <v>0</v>
      </c>
      <c r="O242" s="17">
        <v>2000</v>
      </c>
      <c r="P242" s="17">
        <v>2000</v>
      </c>
      <c r="Q242" s="17">
        <v>0</v>
      </c>
    </row>
    <row r="243" spans="2:17" s="5" customFormat="1" ht="30" customHeight="1">
      <c r="B243" s="57">
        <v>86</v>
      </c>
      <c r="C243" s="45" t="s">
        <v>107</v>
      </c>
      <c r="D243" s="8" t="s">
        <v>254</v>
      </c>
      <c r="E243" s="9" t="s">
        <v>74</v>
      </c>
      <c r="F243" s="10">
        <f>G243</f>
        <v>7933</v>
      </c>
      <c r="G243" s="11">
        <f t="shared" si="117"/>
        <v>7933</v>
      </c>
      <c r="H243" s="35">
        <f>H244</f>
        <v>0</v>
      </c>
      <c r="I243" s="22">
        <f t="shared" si="118"/>
        <v>151</v>
      </c>
      <c r="J243" s="11">
        <f t="shared" ref="J243:J244" si="132">SUM(L243:P243)</f>
        <v>7782</v>
      </c>
      <c r="K243" s="11">
        <f t="shared" ref="K243:P243" si="133">SUM(K244)</f>
        <v>151</v>
      </c>
      <c r="L243" s="11">
        <f t="shared" si="133"/>
        <v>7782</v>
      </c>
      <c r="M243" s="11">
        <f t="shared" si="133"/>
        <v>0</v>
      </c>
      <c r="N243" s="11">
        <f t="shared" si="133"/>
        <v>0</v>
      </c>
      <c r="O243" s="11">
        <f t="shared" si="133"/>
        <v>0</v>
      </c>
      <c r="P243" s="11">
        <f t="shared" si="133"/>
        <v>0</v>
      </c>
      <c r="Q243" s="11">
        <f>SUM(O243:O243)</f>
        <v>0</v>
      </c>
    </row>
    <row r="244" spans="2:17" s="5" customFormat="1" ht="10.95" customHeight="1">
      <c r="B244" s="60"/>
      <c r="C244" s="13" t="s">
        <v>23</v>
      </c>
      <c r="D244" s="14"/>
      <c r="E244" s="15"/>
      <c r="F244" s="16"/>
      <c r="G244" s="17">
        <f t="shared" si="117"/>
        <v>7933</v>
      </c>
      <c r="H244" s="18">
        <v>0</v>
      </c>
      <c r="I244" s="17">
        <f t="shared" si="118"/>
        <v>151</v>
      </c>
      <c r="J244" s="17">
        <f t="shared" si="132"/>
        <v>7782</v>
      </c>
      <c r="K244" s="17">
        <v>151</v>
      </c>
      <c r="L244" s="17">
        <v>7782</v>
      </c>
      <c r="M244" s="17">
        <v>0</v>
      </c>
      <c r="N244" s="17">
        <v>0</v>
      </c>
      <c r="O244" s="17">
        <v>0</v>
      </c>
      <c r="P244" s="17">
        <v>0</v>
      </c>
      <c r="Q244" s="17">
        <f>SUM(O244:O244)</f>
        <v>0</v>
      </c>
    </row>
    <row r="245" spans="2:17" s="4" customFormat="1" ht="17.25" customHeight="1">
      <c r="B245" s="64" t="s">
        <v>261</v>
      </c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6"/>
    </row>
    <row r="246" spans="2:17" s="5" customFormat="1" ht="21" customHeight="1">
      <c r="B246" s="57">
        <v>87</v>
      </c>
      <c r="C246" s="20" t="s">
        <v>178</v>
      </c>
      <c r="D246" s="8" t="s">
        <v>179</v>
      </c>
      <c r="E246" s="9" t="s">
        <v>180</v>
      </c>
      <c r="F246" s="10">
        <f>G246</f>
        <v>507884.64800000004</v>
      </c>
      <c r="G246" s="11">
        <f t="shared" ref="G246:G269" si="134">H246+J246+K246+Q246</f>
        <v>507884.64800000004</v>
      </c>
      <c r="H246" s="35">
        <f>H247+H248</f>
        <v>173913.96</v>
      </c>
      <c r="I246" s="22">
        <f t="shared" ref="I246:I269" si="135">H246+K246</f>
        <v>345838.76899999997</v>
      </c>
      <c r="J246" s="11">
        <f t="shared" ref="J246:J256" si="136">SUM(L246:P246)</f>
        <v>162045.87900000002</v>
      </c>
      <c r="K246" s="11">
        <f t="shared" ref="K246:P246" si="137">SUM(K247:K248)</f>
        <v>171924.80900000001</v>
      </c>
      <c r="L246" s="11">
        <f t="shared" si="137"/>
        <v>156792.24600000001</v>
      </c>
      <c r="M246" s="11">
        <f t="shared" si="137"/>
        <v>5046.0439999999999</v>
      </c>
      <c r="N246" s="11">
        <f t="shared" si="137"/>
        <v>207.589</v>
      </c>
      <c r="O246" s="11">
        <f t="shared" si="137"/>
        <v>0</v>
      </c>
      <c r="P246" s="11">
        <f t="shared" si="137"/>
        <v>0</v>
      </c>
      <c r="Q246" s="11">
        <f t="shared" ref="Q246:Q253" si="138">SUM(O246:O246)</f>
        <v>0</v>
      </c>
    </row>
    <row r="247" spans="2:17" s="5" customFormat="1" ht="10.95" customHeight="1">
      <c r="B247" s="60"/>
      <c r="C247" s="13" t="s">
        <v>23</v>
      </c>
      <c r="D247" s="14"/>
      <c r="E247" s="15"/>
      <c r="F247" s="16"/>
      <c r="G247" s="17">
        <f t="shared" si="134"/>
        <v>364144.64799999999</v>
      </c>
      <c r="H247" s="18">
        <v>128527.04399999999</v>
      </c>
      <c r="I247" s="17">
        <f t="shared" si="135"/>
        <v>229558.93</v>
      </c>
      <c r="J247" s="17">
        <f t="shared" si="136"/>
        <v>134585.71800000002</v>
      </c>
      <c r="K247" s="17">
        <v>101031.886</v>
      </c>
      <c r="L247" s="17">
        <v>129332.08500000001</v>
      </c>
      <c r="M247" s="17">
        <f>6640.421+105.623-1700</f>
        <v>5046.0439999999999</v>
      </c>
      <c r="N247" s="17">
        <v>207.589</v>
      </c>
      <c r="O247" s="17">
        <v>0</v>
      </c>
      <c r="P247" s="17">
        <v>0</v>
      </c>
      <c r="Q247" s="17">
        <f t="shared" si="138"/>
        <v>0</v>
      </c>
    </row>
    <row r="248" spans="2:17" s="5" customFormat="1" ht="10.95" customHeight="1">
      <c r="B248" s="60"/>
      <c r="C248" s="13" t="s">
        <v>36</v>
      </c>
      <c r="D248" s="14"/>
      <c r="E248" s="15"/>
      <c r="F248" s="16"/>
      <c r="G248" s="17">
        <f t="shared" si="134"/>
        <v>143740</v>
      </c>
      <c r="H248" s="18">
        <v>45386.915999999997</v>
      </c>
      <c r="I248" s="17">
        <f t="shared" si="135"/>
        <v>116279.83899999999</v>
      </c>
      <c r="J248" s="17">
        <f t="shared" si="136"/>
        <v>27460.161</v>
      </c>
      <c r="K248" s="17">
        <v>70892.922999999995</v>
      </c>
      <c r="L248" s="17">
        <v>27460.161</v>
      </c>
      <c r="M248" s="17">
        <v>0</v>
      </c>
      <c r="N248" s="17">
        <v>0</v>
      </c>
      <c r="O248" s="17">
        <v>0</v>
      </c>
      <c r="P248" s="17">
        <v>0</v>
      </c>
      <c r="Q248" s="17">
        <f t="shared" si="138"/>
        <v>0</v>
      </c>
    </row>
    <row r="249" spans="2:17" s="5" customFormat="1" ht="21" customHeight="1">
      <c r="B249" s="61">
        <v>88</v>
      </c>
      <c r="C249" s="20" t="s">
        <v>183</v>
      </c>
      <c r="D249" s="8" t="s">
        <v>121</v>
      </c>
      <c r="E249" s="28" t="s">
        <v>43</v>
      </c>
      <c r="F249" s="10">
        <f>G250</f>
        <v>5000</v>
      </c>
      <c r="G249" s="11">
        <f t="shared" si="134"/>
        <v>5000</v>
      </c>
      <c r="H249" s="35">
        <f>H250</f>
        <v>0</v>
      </c>
      <c r="I249" s="22">
        <f t="shared" si="135"/>
        <v>0</v>
      </c>
      <c r="J249" s="11">
        <f t="shared" si="136"/>
        <v>5000</v>
      </c>
      <c r="K249" s="11">
        <f t="shared" ref="K249:P249" si="139">K250</f>
        <v>0</v>
      </c>
      <c r="L249" s="11">
        <f t="shared" si="139"/>
        <v>1000</v>
      </c>
      <c r="M249" s="11">
        <f t="shared" si="139"/>
        <v>4000</v>
      </c>
      <c r="N249" s="11">
        <f t="shared" si="139"/>
        <v>0</v>
      </c>
      <c r="O249" s="11">
        <f t="shared" si="139"/>
        <v>0</v>
      </c>
      <c r="P249" s="11">
        <f t="shared" si="139"/>
        <v>0</v>
      </c>
      <c r="Q249" s="11">
        <f t="shared" si="138"/>
        <v>0</v>
      </c>
    </row>
    <row r="250" spans="2:17" s="5" customFormat="1" ht="10.95" customHeight="1">
      <c r="B250" s="60"/>
      <c r="C250" s="13" t="s">
        <v>23</v>
      </c>
      <c r="D250" s="14"/>
      <c r="E250" s="15"/>
      <c r="F250" s="16"/>
      <c r="G250" s="17">
        <f t="shared" si="134"/>
        <v>5000</v>
      </c>
      <c r="H250" s="17">
        <v>0</v>
      </c>
      <c r="I250" s="17">
        <f t="shared" si="135"/>
        <v>0</v>
      </c>
      <c r="J250" s="17">
        <f t="shared" si="136"/>
        <v>5000</v>
      </c>
      <c r="K250" s="17">
        <v>0</v>
      </c>
      <c r="L250" s="17">
        <v>1000</v>
      </c>
      <c r="M250" s="32">
        <v>4000</v>
      </c>
      <c r="N250" s="17">
        <v>0</v>
      </c>
      <c r="O250" s="17">
        <v>0</v>
      </c>
      <c r="P250" s="17">
        <v>0</v>
      </c>
      <c r="Q250" s="17">
        <f t="shared" si="138"/>
        <v>0</v>
      </c>
    </row>
    <row r="251" spans="2:17" s="5" customFormat="1" ht="21" customHeight="1">
      <c r="B251" s="57">
        <v>89</v>
      </c>
      <c r="C251" s="20" t="s">
        <v>181</v>
      </c>
      <c r="D251" s="8" t="s">
        <v>257</v>
      </c>
      <c r="E251" s="9" t="s">
        <v>214</v>
      </c>
      <c r="F251" s="10">
        <f>G252+G253</f>
        <v>36075.799999999996</v>
      </c>
      <c r="G251" s="11">
        <f t="shared" si="134"/>
        <v>36075.800000000003</v>
      </c>
      <c r="H251" s="35">
        <f>H252+H253</f>
        <v>0</v>
      </c>
      <c r="I251" s="22">
        <f t="shared" si="135"/>
        <v>142.13900000000001</v>
      </c>
      <c r="J251" s="11">
        <f t="shared" si="136"/>
        <v>35933.661</v>
      </c>
      <c r="K251" s="11">
        <f t="shared" ref="K251:P251" si="140">K252+K253</f>
        <v>142.13900000000001</v>
      </c>
      <c r="L251" s="35">
        <f t="shared" si="140"/>
        <v>21112.080999999998</v>
      </c>
      <c r="M251" s="35">
        <f t="shared" si="140"/>
        <v>14821.58</v>
      </c>
      <c r="N251" s="11">
        <f t="shared" si="140"/>
        <v>0</v>
      </c>
      <c r="O251" s="11">
        <f t="shared" si="140"/>
        <v>0</v>
      </c>
      <c r="P251" s="11">
        <f t="shared" si="140"/>
        <v>0</v>
      </c>
      <c r="Q251" s="11">
        <f t="shared" si="138"/>
        <v>0</v>
      </c>
    </row>
    <row r="252" spans="2:17" s="5" customFormat="1" ht="10.95" customHeight="1">
      <c r="B252" s="60"/>
      <c r="C252" s="13" t="s">
        <v>23</v>
      </c>
      <c r="D252" s="14"/>
      <c r="E252" s="15"/>
      <c r="F252" s="16"/>
      <c r="G252" s="17">
        <f t="shared" si="134"/>
        <v>21056.596999999998</v>
      </c>
      <c r="H252" s="17">
        <v>0</v>
      </c>
      <c r="I252" s="17">
        <f t="shared" si="135"/>
        <v>69.563000000000002</v>
      </c>
      <c r="J252" s="17">
        <f t="shared" si="136"/>
        <v>20987.034</v>
      </c>
      <c r="K252" s="17">
        <v>69.563000000000002</v>
      </c>
      <c r="L252" s="17">
        <v>12324.192999999999</v>
      </c>
      <c r="M252" s="17">
        <v>8662.8410000000003</v>
      </c>
      <c r="N252" s="17">
        <v>0</v>
      </c>
      <c r="O252" s="17">
        <v>0</v>
      </c>
      <c r="P252" s="17">
        <v>0</v>
      </c>
      <c r="Q252" s="17">
        <f t="shared" si="138"/>
        <v>0</v>
      </c>
    </row>
    <row r="253" spans="2:17" s="5" customFormat="1" ht="10.95" customHeight="1">
      <c r="B253" s="60"/>
      <c r="C253" s="13" t="s">
        <v>36</v>
      </c>
      <c r="D253" s="14"/>
      <c r="E253" s="15"/>
      <c r="F253" s="16"/>
      <c r="G253" s="17">
        <f t="shared" si="134"/>
        <v>15019.203</v>
      </c>
      <c r="H253" s="17">
        <v>0</v>
      </c>
      <c r="I253" s="17">
        <f t="shared" si="135"/>
        <v>72.575999999999993</v>
      </c>
      <c r="J253" s="17">
        <f t="shared" si="136"/>
        <v>14946.627</v>
      </c>
      <c r="K253" s="17">
        <v>72.575999999999993</v>
      </c>
      <c r="L253" s="17">
        <v>8787.8880000000008</v>
      </c>
      <c r="M253" s="17">
        <v>6158.7389999999996</v>
      </c>
      <c r="N253" s="17">
        <v>0</v>
      </c>
      <c r="O253" s="17">
        <v>0</v>
      </c>
      <c r="P253" s="17">
        <v>0</v>
      </c>
      <c r="Q253" s="17">
        <f t="shared" si="138"/>
        <v>0</v>
      </c>
    </row>
    <row r="254" spans="2:17" s="5" customFormat="1" ht="22.2" customHeight="1">
      <c r="B254" s="61">
        <v>90</v>
      </c>
      <c r="C254" s="20" t="s">
        <v>184</v>
      </c>
      <c r="D254" s="8" t="s">
        <v>121</v>
      </c>
      <c r="E254" s="28" t="s">
        <v>74</v>
      </c>
      <c r="F254" s="10">
        <f>G255</f>
        <v>5815</v>
      </c>
      <c r="G254" s="11">
        <f t="shared" si="134"/>
        <v>5815</v>
      </c>
      <c r="H254" s="35">
        <f>H255</f>
        <v>0</v>
      </c>
      <c r="I254" s="22">
        <f t="shared" si="135"/>
        <v>44.3</v>
      </c>
      <c r="J254" s="11">
        <f t="shared" si="136"/>
        <v>5770.7</v>
      </c>
      <c r="K254" s="11">
        <f t="shared" ref="K254:P254" si="141">K255</f>
        <v>44.3</v>
      </c>
      <c r="L254" s="11">
        <f t="shared" si="141"/>
        <v>5770.7</v>
      </c>
      <c r="M254" s="11">
        <f t="shared" si="141"/>
        <v>0</v>
      </c>
      <c r="N254" s="11">
        <f t="shared" si="141"/>
        <v>0</v>
      </c>
      <c r="O254" s="11">
        <f t="shared" si="141"/>
        <v>0</v>
      </c>
      <c r="P254" s="11">
        <f t="shared" si="141"/>
        <v>0</v>
      </c>
      <c r="Q254" s="11">
        <f t="shared" ref="Q254:Q259" si="142">SUM(O254:O254)</f>
        <v>0</v>
      </c>
    </row>
    <row r="255" spans="2:17" s="5" customFormat="1" ht="10.95" customHeight="1">
      <c r="B255" s="60"/>
      <c r="C255" s="13" t="s">
        <v>23</v>
      </c>
      <c r="D255" s="14"/>
      <c r="E255" s="15"/>
      <c r="F255" s="16"/>
      <c r="G255" s="17">
        <f t="shared" si="134"/>
        <v>5815</v>
      </c>
      <c r="H255" s="17">
        <v>0</v>
      </c>
      <c r="I255" s="17">
        <f t="shared" si="135"/>
        <v>44.3</v>
      </c>
      <c r="J255" s="17">
        <f t="shared" si="136"/>
        <v>5770.7</v>
      </c>
      <c r="K255" s="17">
        <v>44.3</v>
      </c>
      <c r="L255" s="17">
        <f>5770.7</f>
        <v>5770.7</v>
      </c>
      <c r="M255" s="17">
        <v>0</v>
      </c>
      <c r="N255" s="17">
        <v>0</v>
      </c>
      <c r="O255" s="17">
        <v>0</v>
      </c>
      <c r="P255" s="17">
        <v>0</v>
      </c>
      <c r="Q255" s="17">
        <f t="shared" si="142"/>
        <v>0</v>
      </c>
    </row>
    <row r="256" spans="2:17" s="5" customFormat="1" ht="22.2" customHeight="1">
      <c r="B256" s="61">
        <v>91</v>
      </c>
      <c r="C256" s="20" t="s">
        <v>191</v>
      </c>
      <c r="D256" s="8" t="s">
        <v>121</v>
      </c>
      <c r="E256" s="28" t="s">
        <v>74</v>
      </c>
      <c r="F256" s="10">
        <f>G257</f>
        <v>4300</v>
      </c>
      <c r="G256" s="11">
        <f t="shared" si="134"/>
        <v>4300</v>
      </c>
      <c r="H256" s="35">
        <f>H257</f>
        <v>0</v>
      </c>
      <c r="I256" s="22">
        <f t="shared" si="135"/>
        <v>300</v>
      </c>
      <c r="J256" s="11">
        <f t="shared" si="136"/>
        <v>4000</v>
      </c>
      <c r="K256" s="11">
        <f t="shared" ref="K256:P256" si="143">K257</f>
        <v>300</v>
      </c>
      <c r="L256" s="11">
        <f t="shared" si="143"/>
        <v>4000</v>
      </c>
      <c r="M256" s="11">
        <f t="shared" si="143"/>
        <v>0</v>
      </c>
      <c r="N256" s="11">
        <f t="shared" si="143"/>
        <v>0</v>
      </c>
      <c r="O256" s="11">
        <f t="shared" si="143"/>
        <v>0</v>
      </c>
      <c r="P256" s="11">
        <f t="shared" si="143"/>
        <v>0</v>
      </c>
      <c r="Q256" s="11">
        <f t="shared" si="142"/>
        <v>0</v>
      </c>
    </row>
    <row r="257" spans="2:17" s="5" customFormat="1" ht="11.4" customHeight="1">
      <c r="B257" s="60"/>
      <c r="C257" s="13" t="s">
        <v>23</v>
      </c>
      <c r="D257" s="14"/>
      <c r="E257" s="15"/>
      <c r="F257" s="16"/>
      <c r="G257" s="17">
        <f t="shared" si="134"/>
        <v>4300</v>
      </c>
      <c r="H257" s="17">
        <v>0</v>
      </c>
      <c r="I257" s="17">
        <f t="shared" si="135"/>
        <v>300</v>
      </c>
      <c r="J257" s="17">
        <f>SUM(L257:P257)</f>
        <v>4000</v>
      </c>
      <c r="K257" s="17">
        <v>300</v>
      </c>
      <c r="L257" s="17">
        <v>4000</v>
      </c>
      <c r="M257" s="17">
        <v>0</v>
      </c>
      <c r="N257" s="17">
        <v>0</v>
      </c>
      <c r="O257" s="17">
        <v>0</v>
      </c>
      <c r="P257" s="17">
        <v>0</v>
      </c>
      <c r="Q257" s="17">
        <f t="shared" si="142"/>
        <v>0</v>
      </c>
    </row>
    <row r="258" spans="2:17" s="5" customFormat="1" ht="21" customHeight="1">
      <c r="B258" s="61">
        <v>92</v>
      </c>
      <c r="C258" s="20" t="s">
        <v>182</v>
      </c>
      <c r="D258" s="8" t="s">
        <v>251</v>
      </c>
      <c r="E258" s="28" t="s">
        <v>43</v>
      </c>
      <c r="F258" s="10">
        <f>G259</f>
        <v>4000</v>
      </c>
      <c r="G258" s="11">
        <f t="shared" si="134"/>
        <v>4000</v>
      </c>
      <c r="H258" s="35">
        <f>H259</f>
        <v>0</v>
      </c>
      <c r="I258" s="22">
        <f t="shared" si="135"/>
        <v>0</v>
      </c>
      <c r="J258" s="11">
        <f t="shared" ref="J258:J269" si="144">SUM(L258:P258)</f>
        <v>4000</v>
      </c>
      <c r="K258" s="11">
        <f t="shared" ref="K258:P258" si="145">K259</f>
        <v>0</v>
      </c>
      <c r="L258" s="11">
        <f t="shared" si="145"/>
        <v>2000</v>
      </c>
      <c r="M258" s="11">
        <f t="shared" si="145"/>
        <v>2000</v>
      </c>
      <c r="N258" s="11">
        <f t="shared" si="145"/>
        <v>0</v>
      </c>
      <c r="O258" s="11">
        <f t="shared" si="145"/>
        <v>0</v>
      </c>
      <c r="P258" s="11">
        <f t="shared" si="145"/>
        <v>0</v>
      </c>
      <c r="Q258" s="11">
        <f t="shared" si="142"/>
        <v>0</v>
      </c>
    </row>
    <row r="259" spans="2:17" s="5" customFormat="1" ht="11.4" customHeight="1">
      <c r="B259" s="60"/>
      <c r="C259" s="13" t="s">
        <v>23</v>
      </c>
      <c r="D259" s="14"/>
      <c r="E259" s="15"/>
      <c r="F259" s="16"/>
      <c r="G259" s="17">
        <f t="shared" si="134"/>
        <v>4000</v>
      </c>
      <c r="H259" s="17">
        <v>0</v>
      </c>
      <c r="I259" s="17">
        <f t="shared" si="135"/>
        <v>0</v>
      </c>
      <c r="J259" s="17">
        <f t="shared" si="144"/>
        <v>4000</v>
      </c>
      <c r="K259" s="17">
        <v>0</v>
      </c>
      <c r="L259" s="17">
        <v>2000</v>
      </c>
      <c r="M259" s="17">
        <v>2000</v>
      </c>
      <c r="N259" s="17">
        <v>0</v>
      </c>
      <c r="O259" s="17">
        <v>0</v>
      </c>
      <c r="P259" s="17">
        <v>0</v>
      </c>
      <c r="Q259" s="17">
        <f t="shared" si="142"/>
        <v>0</v>
      </c>
    </row>
    <row r="260" spans="2:17" s="5" customFormat="1" ht="21" customHeight="1">
      <c r="B260" s="61">
        <v>93</v>
      </c>
      <c r="C260" s="20" t="s">
        <v>107</v>
      </c>
      <c r="D260" s="8" t="s">
        <v>104</v>
      </c>
      <c r="E260" s="28" t="s">
        <v>109</v>
      </c>
      <c r="F260" s="10">
        <f>G261</f>
        <v>500</v>
      </c>
      <c r="G260" s="11">
        <f t="shared" si="134"/>
        <v>500</v>
      </c>
      <c r="H260" s="35">
        <f>H261</f>
        <v>25.75</v>
      </c>
      <c r="I260" s="22">
        <f t="shared" si="135"/>
        <v>106.45</v>
      </c>
      <c r="J260" s="11">
        <f t="shared" si="144"/>
        <v>393.55</v>
      </c>
      <c r="K260" s="11">
        <f>K261</f>
        <v>80.7</v>
      </c>
      <c r="L260" s="11">
        <f t="shared" ref="L260:Q260" si="146">L261</f>
        <v>393.55</v>
      </c>
      <c r="M260" s="11">
        <f t="shared" si="146"/>
        <v>0</v>
      </c>
      <c r="N260" s="11">
        <f t="shared" si="146"/>
        <v>0</v>
      </c>
      <c r="O260" s="11">
        <f t="shared" si="146"/>
        <v>0</v>
      </c>
      <c r="P260" s="11">
        <f t="shared" si="146"/>
        <v>0</v>
      </c>
      <c r="Q260" s="11">
        <f t="shared" si="146"/>
        <v>0</v>
      </c>
    </row>
    <row r="261" spans="2:17" s="5" customFormat="1" ht="11.4" customHeight="1">
      <c r="B261" s="60"/>
      <c r="C261" s="13" t="s">
        <v>23</v>
      </c>
      <c r="D261" s="14"/>
      <c r="E261" s="15"/>
      <c r="F261" s="16"/>
      <c r="G261" s="17">
        <f t="shared" si="134"/>
        <v>500</v>
      </c>
      <c r="H261" s="17">
        <v>25.75</v>
      </c>
      <c r="I261" s="17">
        <f t="shared" si="135"/>
        <v>106.45</v>
      </c>
      <c r="J261" s="17">
        <f t="shared" si="144"/>
        <v>393.55</v>
      </c>
      <c r="K261" s="17">
        <v>80.7</v>
      </c>
      <c r="L261" s="17">
        <v>393.55</v>
      </c>
      <c r="M261" s="17">
        <v>0</v>
      </c>
      <c r="N261" s="17">
        <v>0</v>
      </c>
      <c r="O261" s="17">
        <v>0</v>
      </c>
      <c r="P261" s="17">
        <v>0</v>
      </c>
      <c r="Q261" s="17">
        <f>SUM(O261:O261)</f>
        <v>0</v>
      </c>
    </row>
    <row r="262" spans="2:17" s="5" customFormat="1" ht="33.6" customHeight="1">
      <c r="B262" s="61">
        <v>94</v>
      </c>
      <c r="C262" s="20" t="s">
        <v>187</v>
      </c>
      <c r="D262" s="8" t="s">
        <v>188</v>
      </c>
      <c r="E262" s="28" t="s">
        <v>84</v>
      </c>
      <c r="F262" s="10">
        <f>G263</f>
        <v>740.85099999999989</v>
      </c>
      <c r="G262" s="11">
        <f t="shared" si="134"/>
        <v>740.85099999999989</v>
      </c>
      <c r="H262" s="35">
        <f>H263</f>
        <v>0</v>
      </c>
      <c r="I262" s="22">
        <f t="shared" si="135"/>
        <v>0</v>
      </c>
      <c r="J262" s="11">
        <f t="shared" si="144"/>
        <v>740.85099999999989</v>
      </c>
      <c r="K262" s="11">
        <f t="shared" ref="K262:P262" si="147">K263</f>
        <v>0</v>
      </c>
      <c r="L262" s="11">
        <f t="shared" si="147"/>
        <v>416.26699999999994</v>
      </c>
      <c r="M262" s="11">
        <f t="shared" si="147"/>
        <v>324.584</v>
      </c>
      <c r="N262" s="11">
        <f t="shared" si="147"/>
        <v>0</v>
      </c>
      <c r="O262" s="11">
        <f t="shared" si="147"/>
        <v>0</v>
      </c>
      <c r="P262" s="11">
        <f t="shared" si="147"/>
        <v>0</v>
      </c>
      <c r="Q262" s="11">
        <f>SUM(O262:O262)</f>
        <v>0</v>
      </c>
    </row>
    <row r="263" spans="2:17" s="5" customFormat="1" ht="11.4" customHeight="1">
      <c r="B263" s="60"/>
      <c r="C263" s="13" t="s">
        <v>23</v>
      </c>
      <c r="D263" s="14"/>
      <c r="E263" s="15"/>
      <c r="F263" s="16"/>
      <c r="G263" s="17">
        <f t="shared" si="134"/>
        <v>740.85099999999989</v>
      </c>
      <c r="H263" s="17">
        <v>0</v>
      </c>
      <c r="I263" s="17">
        <f t="shared" si="135"/>
        <v>0</v>
      </c>
      <c r="J263" s="17">
        <f t="shared" si="144"/>
        <v>740.85099999999989</v>
      </c>
      <c r="K263" s="17">
        <v>0</v>
      </c>
      <c r="L263" s="17">
        <f>513.526-97.259</f>
        <v>416.26699999999994</v>
      </c>
      <c r="M263" s="17">
        <f>227.325+97.259</f>
        <v>324.584</v>
      </c>
      <c r="N263" s="17">
        <v>0</v>
      </c>
      <c r="O263" s="17">
        <v>0</v>
      </c>
      <c r="P263" s="17">
        <v>0</v>
      </c>
      <c r="Q263" s="17">
        <f>SUM(O263:O263)</f>
        <v>0</v>
      </c>
    </row>
    <row r="264" spans="2:17" s="5" customFormat="1" ht="21.6" customHeight="1">
      <c r="B264" s="61">
        <v>95</v>
      </c>
      <c r="C264" s="20" t="s">
        <v>185</v>
      </c>
      <c r="D264" s="8" t="s">
        <v>121</v>
      </c>
      <c r="E264" s="28" t="s">
        <v>84</v>
      </c>
      <c r="F264" s="10">
        <f>G265</f>
        <v>9300</v>
      </c>
      <c r="G264" s="11">
        <f t="shared" si="134"/>
        <v>9300</v>
      </c>
      <c r="H264" s="35">
        <f>H265</f>
        <v>0</v>
      </c>
      <c r="I264" s="22">
        <f t="shared" si="135"/>
        <v>300</v>
      </c>
      <c r="J264" s="11">
        <f t="shared" si="144"/>
        <v>5400</v>
      </c>
      <c r="K264" s="11">
        <f t="shared" ref="K264:P264" si="148">K265</f>
        <v>300</v>
      </c>
      <c r="L264" s="11">
        <f t="shared" si="148"/>
        <v>0</v>
      </c>
      <c r="M264" s="11">
        <f t="shared" si="148"/>
        <v>0</v>
      </c>
      <c r="N264" s="11">
        <f t="shared" si="148"/>
        <v>1800</v>
      </c>
      <c r="O264" s="11">
        <f t="shared" si="148"/>
        <v>1800</v>
      </c>
      <c r="P264" s="11">
        <f t="shared" si="148"/>
        <v>1800</v>
      </c>
      <c r="Q264" s="11">
        <f>Q265</f>
        <v>3600</v>
      </c>
    </row>
    <row r="265" spans="2:17" s="5" customFormat="1" ht="11.4" customHeight="1">
      <c r="B265" s="60"/>
      <c r="C265" s="13" t="s">
        <v>23</v>
      </c>
      <c r="D265" s="14"/>
      <c r="E265" s="15"/>
      <c r="F265" s="16"/>
      <c r="G265" s="17">
        <f t="shared" si="134"/>
        <v>9300</v>
      </c>
      <c r="H265" s="17">
        <v>0</v>
      </c>
      <c r="I265" s="17">
        <f t="shared" si="135"/>
        <v>300</v>
      </c>
      <c r="J265" s="17">
        <f t="shared" si="144"/>
        <v>5400</v>
      </c>
      <c r="K265" s="17">
        <v>300</v>
      </c>
      <c r="L265" s="17">
        <v>0</v>
      </c>
      <c r="M265" s="17">
        <v>0</v>
      </c>
      <c r="N265" s="17">
        <v>1800</v>
      </c>
      <c r="O265" s="17">
        <v>1800</v>
      </c>
      <c r="P265" s="17">
        <v>1800</v>
      </c>
      <c r="Q265" s="17">
        <v>3600</v>
      </c>
    </row>
    <row r="266" spans="2:17" s="5" customFormat="1" ht="31.95" customHeight="1">
      <c r="B266" s="61">
        <v>96</v>
      </c>
      <c r="C266" s="20" t="s">
        <v>189</v>
      </c>
      <c r="D266" s="8" t="s">
        <v>232</v>
      </c>
      <c r="E266" s="28" t="s">
        <v>190</v>
      </c>
      <c r="F266" s="10">
        <f>G267</f>
        <v>19308.75</v>
      </c>
      <c r="G266" s="11">
        <f t="shared" si="134"/>
        <v>19308.75</v>
      </c>
      <c r="H266" s="35">
        <f>H267</f>
        <v>0</v>
      </c>
      <c r="I266" s="22">
        <f t="shared" si="135"/>
        <v>8.75</v>
      </c>
      <c r="J266" s="11">
        <f t="shared" si="144"/>
        <v>19300</v>
      </c>
      <c r="K266" s="11">
        <f>K267</f>
        <v>8.75</v>
      </c>
      <c r="L266" s="11">
        <f t="shared" ref="L266:Q266" si="149">L267</f>
        <v>0</v>
      </c>
      <c r="M266" s="11">
        <f t="shared" si="149"/>
        <v>0</v>
      </c>
      <c r="N266" s="11">
        <f t="shared" si="149"/>
        <v>0</v>
      </c>
      <c r="O266" s="11">
        <f t="shared" si="149"/>
        <v>7000</v>
      </c>
      <c r="P266" s="11">
        <f t="shared" si="149"/>
        <v>12300</v>
      </c>
      <c r="Q266" s="11">
        <f t="shared" si="149"/>
        <v>0</v>
      </c>
    </row>
    <row r="267" spans="2:17" s="5" customFormat="1" ht="11.4" customHeight="1">
      <c r="B267" s="60"/>
      <c r="C267" s="13" t="s">
        <v>23</v>
      </c>
      <c r="D267" s="14"/>
      <c r="E267" s="15"/>
      <c r="F267" s="16"/>
      <c r="G267" s="17">
        <f t="shared" si="134"/>
        <v>19308.75</v>
      </c>
      <c r="H267" s="17">
        <v>0</v>
      </c>
      <c r="I267" s="17">
        <f t="shared" si="135"/>
        <v>8.75</v>
      </c>
      <c r="J267" s="17">
        <f t="shared" si="144"/>
        <v>19300</v>
      </c>
      <c r="K267" s="17">
        <v>8.75</v>
      </c>
      <c r="L267" s="17">
        <v>0</v>
      </c>
      <c r="M267" s="17">
        <v>0</v>
      </c>
      <c r="N267" s="17">
        <v>0</v>
      </c>
      <c r="O267" s="17">
        <v>7000</v>
      </c>
      <c r="P267" s="17">
        <v>12300</v>
      </c>
      <c r="Q267" s="17"/>
    </row>
    <row r="268" spans="2:17" s="5" customFormat="1" ht="21.6" customHeight="1">
      <c r="B268" s="61">
        <v>97</v>
      </c>
      <c r="C268" s="20" t="s">
        <v>186</v>
      </c>
      <c r="D268" s="8" t="s">
        <v>121</v>
      </c>
      <c r="E268" s="28" t="s">
        <v>250</v>
      </c>
      <c r="F268" s="10">
        <f>G269</f>
        <v>187000</v>
      </c>
      <c r="G268" s="11">
        <f t="shared" si="134"/>
        <v>187000</v>
      </c>
      <c r="H268" s="35">
        <f>H269</f>
        <v>0</v>
      </c>
      <c r="I268" s="22">
        <f t="shared" si="135"/>
        <v>0</v>
      </c>
      <c r="J268" s="11">
        <f t="shared" si="144"/>
        <v>10000</v>
      </c>
      <c r="K268" s="11">
        <f t="shared" ref="K268:Q268" si="150">K269</f>
        <v>0</v>
      </c>
      <c r="L268" s="11">
        <f t="shared" si="150"/>
        <v>0</v>
      </c>
      <c r="M268" s="11">
        <f t="shared" si="150"/>
        <v>0</v>
      </c>
      <c r="N268" s="11">
        <f t="shared" si="150"/>
        <v>0</v>
      </c>
      <c r="O268" s="11">
        <f t="shared" si="150"/>
        <v>0</v>
      </c>
      <c r="P268" s="11">
        <f t="shared" si="150"/>
        <v>10000</v>
      </c>
      <c r="Q268" s="11">
        <f t="shared" si="150"/>
        <v>177000</v>
      </c>
    </row>
    <row r="269" spans="2:17" s="5" customFormat="1" ht="11.4" customHeight="1">
      <c r="B269" s="60"/>
      <c r="C269" s="13" t="s">
        <v>23</v>
      </c>
      <c r="D269" s="14"/>
      <c r="E269" s="15"/>
      <c r="F269" s="16"/>
      <c r="G269" s="17">
        <f t="shared" si="134"/>
        <v>187000</v>
      </c>
      <c r="H269" s="17">
        <v>0</v>
      </c>
      <c r="I269" s="17">
        <f t="shared" si="135"/>
        <v>0</v>
      </c>
      <c r="J269" s="17">
        <f t="shared" si="144"/>
        <v>10000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10000</v>
      </c>
      <c r="Q269" s="17">
        <v>177000</v>
      </c>
    </row>
    <row r="270" spans="2:17" s="4" customFormat="1" ht="17.25" customHeight="1">
      <c r="B270" s="67" t="s">
        <v>260</v>
      </c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9"/>
    </row>
    <row r="271" spans="2:17" s="5" customFormat="1" ht="21.6" customHeight="1">
      <c r="B271" s="57">
        <v>98</v>
      </c>
      <c r="C271" s="20" t="s">
        <v>193</v>
      </c>
      <c r="D271" s="8" t="s">
        <v>194</v>
      </c>
      <c r="E271" s="9" t="s">
        <v>195</v>
      </c>
      <c r="F271" s="10">
        <f>G271</f>
        <v>70537.487999999998</v>
      </c>
      <c r="G271" s="11">
        <f t="shared" ref="G271:G282" si="151">H271+J271+K271+Q271</f>
        <v>70537.487999999998</v>
      </c>
      <c r="H271" s="35">
        <f>H272</f>
        <v>49887.487999999998</v>
      </c>
      <c r="I271" s="22">
        <f t="shared" ref="I271:I282" si="152">H271+K271</f>
        <v>50877.487999999998</v>
      </c>
      <c r="J271" s="11">
        <f t="shared" ref="J271:J282" si="153">SUM(L271:P271)</f>
        <v>19660</v>
      </c>
      <c r="K271" s="11">
        <f t="shared" ref="K271:Q271" si="154">SUM(K272)</f>
        <v>990</v>
      </c>
      <c r="L271" s="11">
        <f t="shared" si="154"/>
        <v>2960</v>
      </c>
      <c r="M271" s="11">
        <f t="shared" si="154"/>
        <v>1700</v>
      </c>
      <c r="N271" s="11">
        <f t="shared" si="154"/>
        <v>6500</v>
      </c>
      <c r="O271" s="11">
        <f t="shared" si="154"/>
        <v>4500</v>
      </c>
      <c r="P271" s="11">
        <f t="shared" si="154"/>
        <v>4000</v>
      </c>
      <c r="Q271" s="11">
        <f t="shared" si="154"/>
        <v>0</v>
      </c>
    </row>
    <row r="272" spans="2:17" s="5" customFormat="1" ht="11.4" customHeight="1">
      <c r="B272" s="60"/>
      <c r="C272" s="13" t="s">
        <v>23</v>
      </c>
      <c r="D272" s="14"/>
      <c r="E272" s="15"/>
      <c r="F272" s="16"/>
      <c r="G272" s="17">
        <f t="shared" si="151"/>
        <v>70537.487999999998</v>
      </c>
      <c r="H272" s="18">
        <v>49887.487999999998</v>
      </c>
      <c r="I272" s="17">
        <f t="shared" si="152"/>
        <v>50877.487999999998</v>
      </c>
      <c r="J272" s="17">
        <f t="shared" si="153"/>
        <v>19660</v>
      </c>
      <c r="K272" s="17">
        <v>990</v>
      </c>
      <c r="L272" s="17">
        <v>2960</v>
      </c>
      <c r="M272" s="31">
        <v>1700</v>
      </c>
      <c r="N272" s="17">
        <v>6500</v>
      </c>
      <c r="O272" s="17">
        <v>4500</v>
      </c>
      <c r="P272" s="17">
        <v>4000</v>
      </c>
      <c r="Q272" s="17">
        <v>0</v>
      </c>
    </row>
    <row r="273" spans="2:17" s="5" customFormat="1" ht="23.4" customHeight="1">
      <c r="B273" s="57">
        <v>99</v>
      </c>
      <c r="C273" s="20" t="s">
        <v>196</v>
      </c>
      <c r="D273" s="8" t="s">
        <v>233</v>
      </c>
      <c r="E273" s="9" t="s">
        <v>63</v>
      </c>
      <c r="F273" s="10">
        <f>G273</f>
        <v>200306.15899999999</v>
      </c>
      <c r="G273" s="11">
        <f t="shared" si="151"/>
        <v>200306.15899999999</v>
      </c>
      <c r="H273" s="35">
        <f>H274+H275</f>
        <v>1921.9190000000001</v>
      </c>
      <c r="I273" s="22">
        <f t="shared" si="152"/>
        <v>3469.2110000000002</v>
      </c>
      <c r="J273" s="11">
        <f t="shared" si="153"/>
        <v>124836.948</v>
      </c>
      <c r="K273" s="11">
        <f>SUM(K274:K275)</f>
        <v>1547.2919999999999</v>
      </c>
      <c r="L273" s="11">
        <f t="shared" ref="L273:Q273" si="155">SUM(L274:L275)</f>
        <v>27059.948</v>
      </c>
      <c r="M273" s="11">
        <f t="shared" si="155"/>
        <v>47777</v>
      </c>
      <c r="N273" s="11">
        <f t="shared" si="155"/>
        <v>2000</v>
      </c>
      <c r="O273" s="11">
        <f t="shared" si="155"/>
        <v>24000</v>
      </c>
      <c r="P273" s="11">
        <f t="shared" si="155"/>
        <v>24000</v>
      </c>
      <c r="Q273" s="11">
        <f t="shared" si="155"/>
        <v>72000</v>
      </c>
    </row>
    <row r="274" spans="2:17" s="5" customFormat="1" ht="11.4" customHeight="1">
      <c r="B274" s="60"/>
      <c r="C274" s="13" t="s">
        <v>23</v>
      </c>
      <c r="D274" s="14"/>
      <c r="E274" s="15"/>
      <c r="F274" s="16"/>
      <c r="G274" s="17">
        <f t="shared" si="151"/>
        <v>177306.15899999999</v>
      </c>
      <c r="H274" s="18">
        <v>1921.9190000000001</v>
      </c>
      <c r="I274" s="17">
        <f t="shared" si="152"/>
        <v>3469.2110000000002</v>
      </c>
      <c r="J274" s="17">
        <f t="shared" si="153"/>
        <v>101836.948</v>
      </c>
      <c r="K274" s="17">
        <v>1547.2919999999999</v>
      </c>
      <c r="L274" s="17">
        <f>31959.948-15000</f>
        <v>16959.948</v>
      </c>
      <c r="M274" s="17">
        <f>19877+15000</f>
        <v>34877</v>
      </c>
      <c r="N274" s="17">
        <v>2000</v>
      </c>
      <c r="O274" s="17">
        <v>24000</v>
      </c>
      <c r="P274" s="17">
        <v>24000</v>
      </c>
      <c r="Q274" s="17">
        <v>72000</v>
      </c>
    </row>
    <row r="275" spans="2:17" s="5" customFormat="1" ht="11.4" customHeight="1">
      <c r="B275" s="60"/>
      <c r="C275" s="13" t="s">
        <v>197</v>
      </c>
      <c r="D275" s="14"/>
      <c r="E275" s="15"/>
      <c r="F275" s="16"/>
      <c r="G275" s="17">
        <f t="shared" si="151"/>
        <v>23000</v>
      </c>
      <c r="H275" s="18">
        <v>0</v>
      </c>
      <c r="I275" s="17">
        <f t="shared" si="152"/>
        <v>0</v>
      </c>
      <c r="J275" s="17">
        <f t="shared" si="153"/>
        <v>23000</v>
      </c>
      <c r="K275" s="17">
        <v>0</v>
      </c>
      <c r="L275" s="17">
        <v>10100</v>
      </c>
      <c r="M275" s="17">
        <v>12900</v>
      </c>
      <c r="N275" s="17">
        <v>0</v>
      </c>
      <c r="O275" s="17">
        <v>0</v>
      </c>
      <c r="P275" s="17">
        <v>0</v>
      </c>
      <c r="Q275" s="17">
        <f>SUM(O275:O275)</f>
        <v>0</v>
      </c>
    </row>
    <row r="276" spans="2:17" s="5" customFormat="1" ht="33" customHeight="1">
      <c r="B276" s="61">
        <v>100</v>
      </c>
      <c r="C276" s="20" t="s">
        <v>202</v>
      </c>
      <c r="D276" s="8" t="s">
        <v>201</v>
      </c>
      <c r="E276" s="28" t="s">
        <v>145</v>
      </c>
      <c r="F276" s="10">
        <f>G277</f>
        <v>3520</v>
      </c>
      <c r="G276" s="11">
        <f t="shared" si="151"/>
        <v>3520</v>
      </c>
      <c r="H276" s="35">
        <f>H277</f>
        <v>0</v>
      </c>
      <c r="I276" s="22">
        <f t="shared" si="152"/>
        <v>0</v>
      </c>
      <c r="J276" s="11">
        <f t="shared" si="153"/>
        <v>3520</v>
      </c>
      <c r="K276" s="11">
        <f t="shared" ref="K276:Q276" si="156">K277</f>
        <v>0</v>
      </c>
      <c r="L276" s="11">
        <f t="shared" si="156"/>
        <v>70</v>
      </c>
      <c r="M276" s="11">
        <f t="shared" si="156"/>
        <v>0</v>
      </c>
      <c r="N276" s="11">
        <f t="shared" si="156"/>
        <v>3450</v>
      </c>
      <c r="O276" s="11">
        <f t="shared" si="156"/>
        <v>0</v>
      </c>
      <c r="P276" s="11">
        <f t="shared" si="156"/>
        <v>0</v>
      </c>
      <c r="Q276" s="11">
        <f t="shared" si="156"/>
        <v>0</v>
      </c>
    </row>
    <row r="277" spans="2:17" s="5" customFormat="1" ht="10.95" customHeight="1">
      <c r="B277" s="60"/>
      <c r="C277" s="13" t="s">
        <v>23</v>
      </c>
      <c r="D277" s="14"/>
      <c r="E277" s="15"/>
      <c r="F277" s="16"/>
      <c r="G277" s="17">
        <f t="shared" si="151"/>
        <v>3520</v>
      </c>
      <c r="H277" s="17">
        <v>0</v>
      </c>
      <c r="I277" s="17">
        <f t="shared" si="152"/>
        <v>0</v>
      </c>
      <c r="J277" s="17">
        <f t="shared" si="153"/>
        <v>3520</v>
      </c>
      <c r="K277" s="17">
        <v>0</v>
      </c>
      <c r="L277" s="17">
        <v>70</v>
      </c>
      <c r="M277" s="17">
        <v>0</v>
      </c>
      <c r="N277" s="17">
        <v>3450</v>
      </c>
      <c r="O277" s="17">
        <v>0</v>
      </c>
      <c r="P277" s="17">
        <v>0</v>
      </c>
      <c r="Q277" s="17">
        <v>0</v>
      </c>
    </row>
    <row r="278" spans="2:17" s="5" customFormat="1" ht="21.6" customHeight="1">
      <c r="B278" s="57">
        <v>101</v>
      </c>
      <c r="C278" s="20" t="s">
        <v>200</v>
      </c>
      <c r="D278" s="8" t="s">
        <v>234</v>
      </c>
      <c r="E278" s="9" t="s">
        <v>105</v>
      </c>
      <c r="F278" s="10">
        <f>G278</f>
        <v>15300</v>
      </c>
      <c r="G278" s="11">
        <f t="shared" si="151"/>
        <v>15300</v>
      </c>
      <c r="H278" s="35">
        <f>H279</f>
        <v>0</v>
      </c>
      <c r="I278" s="22">
        <f t="shared" si="152"/>
        <v>0</v>
      </c>
      <c r="J278" s="11">
        <f t="shared" si="153"/>
        <v>15300</v>
      </c>
      <c r="K278" s="11">
        <f t="shared" ref="K278:Q278" si="157">SUM(K279)</f>
        <v>0</v>
      </c>
      <c r="L278" s="11">
        <f t="shared" si="157"/>
        <v>3000</v>
      </c>
      <c r="M278" s="11">
        <f t="shared" si="157"/>
        <v>3300</v>
      </c>
      <c r="N278" s="11">
        <f t="shared" si="157"/>
        <v>3000</v>
      </c>
      <c r="O278" s="11">
        <f t="shared" si="157"/>
        <v>3000</v>
      </c>
      <c r="P278" s="11">
        <f t="shared" si="157"/>
        <v>3000</v>
      </c>
      <c r="Q278" s="11">
        <f t="shared" si="157"/>
        <v>0</v>
      </c>
    </row>
    <row r="279" spans="2:17" s="5" customFormat="1" ht="10.95" customHeight="1">
      <c r="B279" s="60"/>
      <c r="C279" s="13" t="s">
        <v>23</v>
      </c>
      <c r="D279" s="14"/>
      <c r="E279" s="15"/>
      <c r="F279" s="16"/>
      <c r="G279" s="17">
        <f t="shared" si="151"/>
        <v>15300</v>
      </c>
      <c r="H279" s="18">
        <v>0</v>
      </c>
      <c r="I279" s="17">
        <f t="shared" si="152"/>
        <v>0</v>
      </c>
      <c r="J279" s="17">
        <f t="shared" si="153"/>
        <v>15300</v>
      </c>
      <c r="K279" s="17">
        <v>0</v>
      </c>
      <c r="L279" s="17">
        <v>3000</v>
      </c>
      <c r="M279" s="17">
        <v>3300</v>
      </c>
      <c r="N279" s="17">
        <v>3000</v>
      </c>
      <c r="O279" s="17">
        <v>3000</v>
      </c>
      <c r="P279" s="17">
        <v>3000</v>
      </c>
      <c r="Q279" s="17">
        <v>0</v>
      </c>
    </row>
    <row r="280" spans="2:17" s="5" customFormat="1" ht="24" customHeight="1">
      <c r="B280" s="57">
        <v>102</v>
      </c>
      <c r="C280" s="50" t="s">
        <v>198</v>
      </c>
      <c r="D280" s="8" t="s">
        <v>221</v>
      </c>
      <c r="E280" s="9" t="s">
        <v>199</v>
      </c>
      <c r="F280" s="10">
        <f>G280</f>
        <v>44525</v>
      </c>
      <c r="G280" s="11">
        <f t="shared" si="151"/>
        <v>44525</v>
      </c>
      <c r="H280" s="35">
        <f>H281+H282</f>
        <v>0</v>
      </c>
      <c r="I280" s="22">
        <f t="shared" si="152"/>
        <v>0</v>
      </c>
      <c r="J280" s="11">
        <f t="shared" si="153"/>
        <v>44525</v>
      </c>
      <c r="K280" s="11">
        <f>SUM(K281:K281)</f>
        <v>0</v>
      </c>
      <c r="L280" s="11">
        <f t="shared" ref="L280:Q280" si="158">SUM(L281:L282)</f>
        <v>1475</v>
      </c>
      <c r="M280" s="11">
        <f t="shared" si="158"/>
        <v>6210</v>
      </c>
      <c r="N280" s="11">
        <f t="shared" si="158"/>
        <v>16540</v>
      </c>
      <c r="O280" s="11">
        <f t="shared" si="158"/>
        <v>20300</v>
      </c>
      <c r="P280" s="11">
        <f t="shared" si="158"/>
        <v>0</v>
      </c>
      <c r="Q280" s="11">
        <f t="shared" si="158"/>
        <v>0</v>
      </c>
    </row>
    <row r="281" spans="2:17" s="5" customFormat="1" ht="10.95" customHeight="1">
      <c r="B281" s="60"/>
      <c r="C281" s="13" t="s">
        <v>23</v>
      </c>
      <c r="D281" s="14"/>
      <c r="E281" s="15"/>
      <c r="F281" s="16"/>
      <c r="G281" s="17">
        <f t="shared" si="151"/>
        <v>16220</v>
      </c>
      <c r="H281" s="18">
        <v>0</v>
      </c>
      <c r="I281" s="17">
        <f t="shared" si="152"/>
        <v>0</v>
      </c>
      <c r="J281" s="17">
        <f t="shared" si="153"/>
        <v>16220</v>
      </c>
      <c r="K281" s="17">
        <v>0</v>
      </c>
      <c r="L281" s="17">
        <v>1345</v>
      </c>
      <c r="M281" s="17">
        <v>3380</v>
      </c>
      <c r="N281" s="17">
        <v>5210</v>
      </c>
      <c r="O281" s="17">
        <v>6285</v>
      </c>
      <c r="P281" s="17">
        <v>0</v>
      </c>
      <c r="Q281" s="17">
        <v>0</v>
      </c>
    </row>
    <row r="282" spans="2:17" s="5" customFormat="1" ht="10.95" customHeight="1">
      <c r="B282" s="60"/>
      <c r="C282" s="13" t="s">
        <v>36</v>
      </c>
      <c r="D282" s="14"/>
      <c r="E282" s="15"/>
      <c r="F282" s="16"/>
      <c r="G282" s="17">
        <f t="shared" si="151"/>
        <v>28305</v>
      </c>
      <c r="H282" s="18">
        <v>0</v>
      </c>
      <c r="I282" s="17">
        <f t="shared" si="152"/>
        <v>0</v>
      </c>
      <c r="J282" s="17">
        <f t="shared" si="153"/>
        <v>28305</v>
      </c>
      <c r="K282" s="17">
        <v>0</v>
      </c>
      <c r="L282" s="17">
        <v>130</v>
      </c>
      <c r="M282" s="17">
        <v>2830</v>
      </c>
      <c r="N282" s="17">
        <v>11330</v>
      </c>
      <c r="O282" s="17">
        <v>14015</v>
      </c>
      <c r="P282" s="17">
        <v>0</v>
      </c>
      <c r="Q282" s="17">
        <v>0</v>
      </c>
    </row>
    <row r="283" spans="2:17" s="36" customFormat="1" ht="22.2" customHeight="1">
      <c r="B283" s="70" t="s">
        <v>209</v>
      </c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2"/>
    </row>
    <row r="284" spans="2:17" s="39" customFormat="1" ht="11.4" customHeight="1">
      <c r="B284" s="37"/>
      <c r="C284" s="38" t="s">
        <v>203</v>
      </c>
      <c r="D284" s="37"/>
      <c r="E284" s="37"/>
      <c r="F284" s="37"/>
      <c r="G284" s="43">
        <f t="shared" ref="G284:G289" si="159">G290+G296+G302+G308+G314+G320+G326+G332+G338+G344+G350+G356</f>
        <v>8825918.7990000006</v>
      </c>
      <c r="H284" s="43">
        <f t="shared" ref="H284:Q284" si="160">H290+H296+H302+H308+H314+H320+H326+H332+H338+H344+H350+H356</f>
        <v>4171048.97</v>
      </c>
      <c r="I284" s="43">
        <f t="shared" ref="I284:I289" si="161">I290+I296+I302+I308+I314+I320+I326+I332+I338+I344+I350+I356</f>
        <v>4829872.5279999999</v>
      </c>
      <c r="J284" s="43">
        <f t="shared" si="160"/>
        <v>3297186.6370000001</v>
      </c>
      <c r="K284" s="43">
        <f t="shared" si="160"/>
        <v>652679.55799999984</v>
      </c>
      <c r="L284" s="43">
        <f t="shared" si="160"/>
        <v>861972.13800000015</v>
      </c>
      <c r="M284" s="43">
        <f t="shared" si="160"/>
        <v>561525.76099999994</v>
      </c>
      <c r="N284" s="43">
        <f t="shared" si="160"/>
        <v>590337.71</v>
      </c>
      <c r="O284" s="43">
        <f t="shared" si="160"/>
        <v>605578.071</v>
      </c>
      <c r="P284" s="43">
        <f t="shared" si="160"/>
        <v>677772.95700000005</v>
      </c>
      <c r="Q284" s="43">
        <f t="shared" si="160"/>
        <v>705003.63399999996</v>
      </c>
    </row>
    <row r="285" spans="2:17" s="39" customFormat="1" ht="11.4" customHeight="1">
      <c r="B285" s="40"/>
      <c r="C285" s="41" t="s">
        <v>23</v>
      </c>
      <c r="D285" s="40"/>
      <c r="E285" s="40"/>
      <c r="F285" s="40">
        <f>F291+F297+F303+F309+F315+F321+F327+F333+F339+F345+F351+F357</f>
        <v>0</v>
      </c>
      <c r="G285" s="42">
        <f t="shared" si="159"/>
        <v>6105284.96</v>
      </c>
      <c r="H285" s="42">
        <f>H291+H297+H303+H309+H315+H321+H327+H333+H339+H345+H351+H357</f>
        <v>2543727.4169999999</v>
      </c>
      <c r="I285" s="42">
        <f t="shared" si="161"/>
        <v>2898714.7169999997</v>
      </c>
      <c r="J285" s="42">
        <f t="shared" ref="J285:Q285" si="162">J291+J297+J303+J309+J315+J321+J327+J333+J339+J345+J351+J357</f>
        <v>2501566.6090000002</v>
      </c>
      <c r="K285" s="42">
        <f t="shared" si="162"/>
        <v>354987.30000000005</v>
      </c>
      <c r="L285" s="42">
        <f t="shared" si="162"/>
        <v>610945.96199999994</v>
      </c>
      <c r="M285" s="42">
        <f t="shared" si="162"/>
        <v>463120.88999999996</v>
      </c>
      <c r="N285" s="42">
        <f t="shared" si="162"/>
        <v>472162.11699999997</v>
      </c>
      <c r="O285" s="42">
        <f t="shared" si="162"/>
        <v>465889.25400000002</v>
      </c>
      <c r="P285" s="42">
        <f t="shared" si="162"/>
        <v>489448.386</v>
      </c>
      <c r="Q285" s="42">
        <f t="shared" si="162"/>
        <v>705003.63399999996</v>
      </c>
    </row>
    <row r="286" spans="2:17" s="39" customFormat="1" ht="11.4" customHeight="1">
      <c r="B286" s="40"/>
      <c r="C286" s="41" t="s">
        <v>36</v>
      </c>
      <c r="D286" s="40"/>
      <c r="E286" s="40"/>
      <c r="F286" s="40">
        <f>F292+F298+F304+F310+F316+F322+F328+F334+F340+F346+F352+F358</f>
        <v>0</v>
      </c>
      <c r="G286" s="42">
        <f t="shared" si="159"/>
        <v>1373245.6880000003</v>
      </c>
      <c r="H286" s="42">
        <f t="shared" ref="H286:Q289" si="163">H292+H298+H304+H310+H316+H322+H328+H334+H340+H346+H352+H358</f>
        <v>573374.40999999992</v>
      </c>
      <c r="I286" s="42">
        <f t="shared" si="161"/>
        <v>701263.4580000001</v>
      </c>
      <c r="J286" s="42">
        <f t="shared" si="163"/>
        <v>671982.23</v>
      </c>
      <c r="K286" s="42">
        <f t="shared" si="163"/>
        <v>127889.04800000001</v>
      </c>
      <c r="L286" s="42">
        <f t="shared" si="163"/>
        <v>194439.27</v>
      </c>
      <c r="M286" s="42">
        <f t="shared" si="163"/>
        <v>66588.334000000003</v>
      </c>
      <c r="N286" s="42">
        <f t="shared" si="163"/>
        <v>106813.238</v>
      </c>
      <c r="O286" s="42">
        <f t="shared" si="163"/>
        <v>119647.217</v>
      </c>
      <c r="P286" s="42">
        <f t="shared" si="163"/>
        <v>184494.171</v>
      </c>
      <c r="Q286" s="42">
        <f t="shared" si="163"/>
        <v>0</v>
      </c>
    </row>
    <row r="287" spans="2:17" s="39" customFormat="1" ht="11.4" customHeight="1">
      <c r="B287" s="40"/>
      <c r="C287" s="41" t="s">
        <v>197</v>
      </c>
      <c r="D287" s="40"/>
      <c r="E287" s="40"/>
      <c r="F287" s="40">
        <f>F293+F299+F305+F311+F317+F323+F329+F335+F341+F347+F353+F359</f>
        <v>0</v>
      </c>
      <c r="G287" s="42">
        <f t="shared" si="159"/>
        <v>28050.22</v>
      </c>
      <c r="H287" s="42">
        <f t="shared" si="163"/>
        <v>5050.22</v>
      </c>
      <c r="I287" s="42">
        <f t="shared" si="161"/>
        <v>5050.22</v>
      </c>
      <c r="J287" s="42">
        <f t="shared" si="163"/>
        <v>23000</v>
      </c>
      <c r="K287" s="42">
        <f t="shared" si="163"/>
        <v>0</v>
      </c>
      <c r="L287" s="42">
        <f t="shared" si="163"/>
        <v>10100</v>
      </c>
      <c r="M287" s="42">
        <f t="shared" si="163"/>
        <v>12900</v>
      </c>
      <c r="N287" s="42">
        <f t="shared" si="163"/>
        <v>0</v>
      </c>
      <c r="O287" s="42">
        <f t="shared" si="163"/>
        <v>0</v>
      </c>
      <c r="P287" s="42">
        <f t="shared" si="163"/>
        <v>0</v>
      </c>
      <c r="Q287" s="42">
        <f t="shared" si="163"/>
        <v>0</v>
      </c>
    </row>
    <row r="288" spans="2:17" s="39" customFormat="1" ht="11.4" customHeight="1">
      <c r="B288" s="40"/>
      <c r="C288" s="41" t="s">
        <v>159</v>
      </c>
      <c r="D288" s="40"/>
      <c r="E288" s="40"/>
      <c r="F288" s="40">
        <f>F294+F300+F306+F312+F318+F324+F330+F336+F342+F348+F354+F360</f>
        <v>0</v>
      </c>
      <c r="G288" s="42">
        <f t="shared" si="159"/>
        <v>45527.399999999994</v>
      </c>
      <c r="H288" s="42">
        <f t="shared" si="163"/>
        <v>11071</v>
      </c>
      <c r="I288" s="42">
        <f t="shared" si="161"/>
        <v>14702.351000000001</v>
      </c>
      <c r="J288" s="42">
        <f t="shared" si="163"/>
        <v>30825.048999999999</v>
      </c>
      <c r="K288" s="42">
        <f t="shared" si="163"/>
        <v>3631.3510000000001</v>
      </c>
      <c r="L288" s="42">
        <f t="shared" si="163"/>
        <v>17463.511999999999</v>
      </c>
      <c r="M288" s="42">
        <f t="shared" si="163"/>
        <v>4961.5370000000003</v>
      </c>
      <c r="N288" s="42">
        <f t="shared" si="163"/>
        <v>4800</v>
      </c>
      <c r="O288" s="42">
        <f t="shared" si="163"/>
        <v>3600</v>
      </c>
      <c r="P288" s="42">
        <f t="shared" si="163"/>
        <v>0</v>
      </c>
      <c r="Q288" s="42">
        <f t="shared" si="163"/>
        <v>0</v>
      </c>
    </row>
    <row r="289" spans="2:17" s="39" customFormat="1" ht="11.4" customHeight="1">
      <c r="B289" s="40"/>
      <c r="C289" s="41" t="s">
        <v>28</v>
      </c>
      <c r="D289" s="40"/>
      <c r="E289" s="40"/>
      <c r="F289" s="40">
        <f>F295+F301+F307+F313+F319+F325+F331+F337+F343+F349+F355+F361</f>
        <v>0</v>
      </c>
      <c r="G289" s="42">
        <f t="shared" si="159"/>
        <v>1273810.531</v>
      </c>
      <c r="H289" s="42">
        <f t="shared" si="163"/>
        <v>1037825.923</v>
      </c>
      <c r="I289" s="42">
        <f t="shared" si="161"/>
        <v>1210141.7820000001</v>
      </c>
      <c r="J289" s="42">
        <f t="shared" si="163"/>
        <v>69812.749000000011</v>
      </c>
      <c r="K289" s="42">
        <f t="shared" si="163"/>
        <v>166171.859</v>
      </c>
      <c r="L289" s="42">
        <f t="shared" si="163"/>
        <v>29023.394</v>
      </c>
      <c r="M289" s="42">
        <f t="shared" si="163"/>
        <v>13955</v>
      </c>
      <c r="N289" s="42">
        <f t="shared" si="163"/>
        <v>6562.3549999999996</v>
      </c>
      <c r="O289" s="42">
        <f t="shared" si="163"/>
        <v>16441.599999999999</v>
      </c>
      <c r="P289" s="42">
        <f t="shared" si="163"/>
        <v>3830.4</v>
      </c>
      <c r="Q289" s="42">
        <f t="shared" si="163"/>
        <v>0</v>
      </c>
    </row>
    <row r="290" spans="2:17" s="39" customFormat="1" ht="11.4" customHeight="1">
      <c r="B290" s="37"/>
      <c r="C290" s="38" t="s">
        <v>20</v>
      </c>
      <c r="D290" s="37"/>
      <c r="E290" s="37"/>
      <c r="F290" s="37"/>
      <c r="G290" s="43">
        <f>SUM(G291:G295)</f>
        <v>3459692.591</v>
      </c>
      <c r="H290" s="43">
        <f t="shared" ref="H290:Q290" si="164">SUM(H291:H295)</f>
        <v>1452677.7339999999</v>
      </c>
      <c r="I290" s="43">
        <f>SUM(I291:I295)</f>
        <v>1667162.4380000001</v>
      </c>
      <c r="J290" s="43">
        <f t="shared" si="164"/>
        <v>1543106.5190000001</v>
      </c>
      <c r="K290" s="43">
        <f t="shared" si="164"/>
        <v>208340.70400000003</v>
      </c>
      <c r="L290" s="43">
        <f t="shared" si="164"/>
        <v>387450.701</v>
      </c>
      <c r="M290" s="43">
        <f t="shared" si="164"/>
        <v>217518.174</v>
      </c>
      <c r="N290" s="43">
        <f t="shared" si="164"/>
        <v>255879.416</v>
      </c>
      <c r="O290" s="43">
        <f t="shared" si="164"/>
        <v>288104.27099999995</v>
      </c>
      <c r="P290" s="43">
        <f t="shared" si="164"/>
        <v>394153.95700000005</v>
      </c>
      <c r="Q290" s="43">
        <f t="shared" si="164"/>
        <v>255567.63399999999</v>
      </c>
    </row>
    <row r="291" spans="2:17" s="39" customFormat="1" ht="11.4" customHeight="1">
      <c r="B291" s="40"/>
      <c r="C291" s="41" t="s">
        <v>23</v>
      </c>
      <c r="D291" s="40"/>
      <c r="E291" s="40"/>
      <c r="F291" s="40"/>
      <c r="G291" s="42">
        <f>G8+G11+G14+G18+G21+G24+G28+G31++G34+G37+G40+G43+G46+G48+G51+G54+G56+G58+G62+G66+G70+G72+G75+G77+G80+G84+G88+G86+G91+G93+G97+G99+G102+G105</f>
        <v>2158928.142</v>
      </c>
      <c r="H291" s="42">
        <f t="shared" ref="H291:Q291" si="165">H8+H11+H14+H18+H21+H24+H28+H31++H34+H37+H40+H43+H46+H48+H51+H54+H56+H58+H62+H66+H70+H72+H75+H77+H80+H84+H88+H86+H91+H93+H97+H99+H102+H105</f>
        <v>829568.16200000001</v>
      </c>
      <c r="I291" s="42">
        <f>I8+I11+I14+I18+I21+I24+I28+I31++I34+I37+I40+I43+I46+I48+I51+I54+I56+I58+I62+I66+I70+I72+I75+I77+I80+I84+I88+I86+I91+I93+I97+I99+I102+I105</f>
        <v>938320.40600000008</v>
      </c>
      <c r="J291" s="42">
        <f t="shared" si="165"/>
        <v>965040.10200000007</v>
      </c>
      <c r="K291" s="42">
        <f t="shared" si="165"/>
        <v>108752.24400000001</v>
      </c>
      <c r="L291" s="42">
        <f t="shared" si="165"/>
        <v>197658.03899999999</v>
      </c>
      <c r="M291" s="42">
        <f t="shared" si="165"/>
        <v>184135.95300000001</v>
      </c>
      <c r="N291" s="42">
        <f t="shared" si="165"/>
        <v>193591.96099999998</v>
      </c>
      <c r="O291" s="42">
        <f t="shared" si="165"/>
        <v>181751.592</v>
      </c>
      <c r="P291" s="42">
        <f t="shared" si="165"/>
        <v>207902.557</v>
      </c>
      <c r="Q291" s="42">
        <f t="shared" si="165"/>
        <v>255567.63399999999</v>
      </c>
    </row>
    <row r="292" spans="2:17" s="39" customFormat="1" ht="11.4" customHeight="1">
      <c r="B292" s="40"/>
      <c r="C292" s="41" t="s">
        <v>36</v>
      </c>
      <c r="D292" s="40"/>
      <c r="E292" s="40"/>
      <c r="F292" s="40"/>
      <c r="G292" s="42">
        <f t="shared" ref="G292:Q292" si="166">G15+G22+G25+G32+G38+G59+G81+G89+G94</f>
        <v>940251.91800000018</v>
      </c>
      <c r="H292" s="42">
        <f t="shared" si="166"/>
        <v>368837.64900000003</v>
      </c>
      <c r="I292" s="42">
        <f>I15+I22+I25+I32+I38+I59+I81+I89+I94</f>
        <v>424969.6050000001</v>
      </c>
      <c r="J292" s="42">
        <f t="shared" si="166"/>
        <v>515282.31300000002</v>
      </c>
      <c r="K292" s="42">
        <f t="shared" si="166"/>
        <v>56131.956000000006</v>
      </c>
      <c r="L292" s="42">
        <f t="shared" si="166"/>
        <v>155023.913</v>
      </c>
      <c r="M292" s="42">
        <f t="shared" si="166"/>
        <v>29151.220999999998</v>
      </c>
      <c r="N292" s="42">
        <f t="shared" si="166"/>
        <v>56875.1</v>
      </c>
      <c r="O292" s="42">
        <f t="shared" si="166"/>
        <v>91811.078999999998</v>
      </c>
      <c r="P292" s="42">
        <f t="shared" si="166"/>
        <v>182421</v>
      </c>
      <c r="Q292" s="42">
        <f t="shared" si="166"/>
        <v>0</v>
      </c>
    </row>
    <row r="293" spans="2:17" s="39" customFormat="1" ht="11.4" customHeight="1">
      <c r="B293" s="40"/>
      <c r="C293" s="41" t="s">
        <v>197</v>
      </c>
      <c r="D293" s="40"/>
      <c r="E293" s="40"/>
      <c r="F293" s="40"/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</row>
    <row r="294" spans="2:17" s="39" customFormat="1" ht="11.4" customHeight="1">
      <c r="B294" s="40"/>
      <c r="C294" s="41" t="s">
        <v>159</v>
      </c>
      <c r="D294" s="40"/>
      <c r="E294" s="40"/>
      <c r="F294" s="40"/>
      <c r="G294" s="42">
        <f>G64+G67</f>
        <v>10572.444</v>
      </c>
      <c r="H294" s="42">
        <f t="shared" ref="H294:Q294" si="167">H64+H67</f>
        <v>1711</v>
      </c>
      <c r="I294" s="42">
        <f>I64+I67</f>
        <v>1809.4</v>
      </c>
      <c r="J294" s="42">
        <f t="shared" si="167"/>
        <v>8763.0439999999999</v>
      </c>
      <c r="K294" s="42">
        <f t="shared" si="167"/>
        <v>98.4</v>
      </c>
      <c r="L294" s="42">
        <f t="shared" si="167"/>
        <v>8763.0439999999999</v>
      </c>
      <c r="M294" s="42">
        <f t="shared" si="167"/>
        <v>0</v>
      </c>
      <c r="N294" s="42">
        <f t="shared" si="167"/>
        <v>0</v>
      </c>
      <c r="O294" s="42">
        <f t="shared" si="167"/>
        <v>0</v>
      </c>
      <c r="P294" s="42">
        <f t="shared" si="167"/>
        <v>0</v>
      </c>
      <c r="Q294" s="42">
        <f t="shared" si="167"/>
        <v>0</v>
      </c>
    </row>
    <row r="295" spans="2:17" s="39" customFormat="1" ht="11.4" customHeight="1">
      <c r="B295" s="40"/>
      <c r="C295" s="41" t="s">
        <v>28</v>
      </c>
      <c r="D295" s="40"/>
      <c r="E295" s="40"/>
      <c r="F295" s="40"/>
      <c r="G295" s="42">
        <f t="shared" ref="G295:Q295" si="168">G9+G12+G16+G19+G26+G29+G35+G41+G44+G49+G52+G60+G63+G68+G78+G82+G95+G100+G103+G106+G73</f>
        <v>349940.087</v>
      </c>
      <c r="H295" s="42">
        <f t="shared" si="168"/>
        <v>252560.92299999998</v>
      </c>
      <c r="I295" s="42">
        <f>I9+I12+I16+I19+I26+I29+I35+I41+I44+I49+I52+I60+I63+I68+I78+I82+I95+I100+I103+I106+I73</f>
        <v>302063.027</v>
      </c>
      <c r="J295" s="42">
        <f t="shared" si="168"/>
        <v>54021.060000000005</v>
      </c>
      <c r="K295" s="42">
        <f t="shared" si="168"/>
        <v>43358.104000000007</v>
      </c>
      <c r="L295" s="42">
        <f t="shared" si="168"/>
        <v>26005.705000000002</v>
      </c>
      <c r="M295" s="42">
        <f t="shared" si="168"/>
        <v>4231</v>
      </c>
      <c r="N295" s="42">
        <f t="shared" si="168"/>
        <v>5412.3549999999996</v>
      </c>
      <c r="O295" s="42">
        <f t="shared" si="168"/>
        <v>14541.6</v>
      </c>
      <c r="P295" s="42">
        <f t="shared" si="168"/>
        <v>3830.4</v>
      </c>
      <c r="Q295" s="42">
        <f t="shared" si="168"/>
        <v>0</v>
      </c>
    </row>
    <row r="296" spans="2:17" s="39" customFormat="1" ht="11.4" customHeight="1">
      <c r="B296" s="37"/>
      <c r="C296" s="38" t="s">
        <v>204</v>
      </c>
      <c r="D296" s="37"/>
      <c r="E296" s="37"/>
      <c r="F296" s="37"/>
      <c r="G296" s="43">
        <f>SUM(G297:G301)</f>
        <v>1498941.5530000001</v>
      </c>
      <c r="H296" s="43">
        <f t="shared" ref="H296:Q296" si="169">SUM(H297:H301)</f>
        <v>961944.33900000004</v>
      </c>
      <c r="I296" s="43">
        <f>SUM(I297:I301)</f>
        <v>1117219.199</v>
      </c>
      <c r="J296" s="43">
        <f t="shared" si="169"/>
        <v>379722.35400000005</v>
      </c>
      <c r="K296" s="43">
        <f t="shared" si="169"/>
        <v>155274.86000000002</v>
      </c>
      <c r="L296" s="43">
        <f t="shared" si="169"/>
        <v>50229.746999999996</v>
      </c>
      <c r="M296" s="43">
        <f t="shared" si="169"/>
        <v>106597.60699999999</v>
      </c>
      <c r="N296" s="43">
        <f t="shared" si="169"/>
        <v>97920</v>
      </c>
      <c r="O296" s="43">
        <f t="shared" si="169"/>
        <v>76975</v>
      </c>
      <c r="P296" s="43">
        <f t="shared" si="169"/>
        <v>48000</v>
      </c>
      <c r="Q296" s="43">
        <f t="shared" si="169"/>
        <v>2000</v>
      </c>
    </row>
    <row r="297" spans="2:17" s="39" customFormat="1" ht="11.4" customHeight="1">
      <c r="B297" s="40"/>
      <c r="C297" s="41" t="s">
        <v>23</v>
      </c>
      <c r="D297" s="40"/>
      <c r="E297" s="40"/>
      <c r="F297" s="40"/>
      <c r="G297" s="42">
        <f>G109+G111+G116+G120+G123+G126+G129+G133+G135+G137</f>
        <v>520422.80600000004</v>
      </c>
      <c r="H297" s="42">
        <f t="shared" ref="H297:Q297" si="170">H109+H111+H116+H120+H123+H126+H129+H133+H135+H137</f>
        <v>172684.114</v>
      </c>
      <c r="I297" s="42">
        <f>I109+I111+I116+I120+I123+I126+I129+I133+I135+I137</f>
        <v>204353.62600000002</v>
      </c>
      <c r="J297" s="42">
        <f t="shared" si="170"/>
        <v>314069.18</v>
      </c>
      <c r="K297" s="42">
        <f t="shared" si="170"/>
        <v>31669.511999999999</v>
      </c>
      <c r="L297" s="42">
        <f t="shared" si="170"/>
        <v>43321.930999999997</v>
      </c>
      <c r="M297" s="42">
        <f t="shared" si="170"/>
        <v>80437.695999999996</v>
      </c>
      <c r="N297" s="42">
        <f t="shared" si="170"/>
        <v>83128.861999999994</v>
      </c>
      <c r="O297" s="42">
        <f t="shared" si="170"/>
        <v>61253.862000000001</v>
      </c>
      <c r="P297" s="42">
        <f t="shared" si="170"/>
        <v>45926.828999999998</v>
      </c>
      <c r="Q297" s="42">
        <f t="shared" si="170"/>
        <v>2000</v>
      </c>
    </row>
    <row r="298" spans="2:17" s="39" customFormat="1" ht="11.4" customHeight="1">
      <c r="B298" s="40"/>
      <c r="C298" s="41" t="s">
        <v>36</v>
      </c>
      <c r="D298" s="40"/>
      <c r="E298" s="40"/>
      <c r="F298" s="40"/>
      <c r="G298" s="42">
        <f>G117+G127+G130</f>
        <v>74895.946999999986</v>
      </c>
      <c r="H298" s="42">
        <f t="shared" ref="H298:Q298" si="171">H117+H127+H130</f>
        <v>27153.224999999999</v>
      </c>
      <c r="I298" s="42">
        <f>I117+I127+I130</f>
        <v>27944.817999999999</v>
      </c>
      <c r="J298" s="42">
        <f t="shared" si="171"/>
        <v>46951.129000000001</v>
      </c>
      <c r="K298" s="42">
        <f t="shared" si="171"/>
        <v>791.59299999999996</v>
      </c>
      <c r="L298" s="42">
        <f t="shared" si="171"/>
        <v>3037.308</v>
      </c>
      <c r="M298" s="42">
        <f t="shared" si="171"/>
        <v>14198.374</v>
      </c>
      <c r="N298" s="42">
        <f t="shared" si="171"/>
        <v>13821.138000000001</v>
      </c>
      <c r="O298" s="42">
        <f t="shared" si="171"/>
        <v>13821.138000000001</v>
      </c>
      <c r="P298" s="42">
        <f t="shared" si="171"/>
        <v>2073.1709999999998</v>
      </c>
      <c r="Q298" s="42">
        <f t="shared" si="171"/>
        <v>0</v>
      </c>
    </row>
    <row r="299" spans="2:17" s="39" customFormat="1" ht="11.4" customHeight="1">
      <c r="B299" s="40"/>
      <c r="C299" s="41" t="s">
        <v>197</v>
      </c>
      <c r="D299" s="40"/>
      <c r="E299" s="40"/>
      <c r="F299" s="40"/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</row>
    <row r="300" spans="2:17" s="39" customFormat="1" ht="11.4" customHeight="1">
      <c r="B300" s="40"/>
      <c r="C300" s="41" t="s">
        <v>159</v>
      </c>
      <c r="D300" s="40"/>
      <c r="E300" s="40"/>
      <c r="F300" s="40"/>
      <c r="G300" s="42">
        <f>G118</f>
        <v>5044.3559999999998</v>
      </c>
      <c r="H300" s="42">
        <f t="shared" ref="H300:Q300" si="172">H118</f>
        <v>0</v>
      </c>
      <c r="I300" s="42">
        <f>I118</f>
        <v>0</v>
      </c>
      <c r="J300" s="42">
        <f t="shared" si="172"/>
        <v>5044.3559999999998</v>
      </c>
      <c r="K300" s="42">
        <f t="shared" si="172"/>
        <v>0</v>
      </c>
      <c r="L300" s="42">
        <f t="shared" si="172"/>
        <v>2482.819</v>
      </c>
      <c r="M300" s="42">
        <f t="shared" si="172"/>
        <v>2561.5369999999998</v>
      </c>
      <c r="N300" s="42">
        <f t="shared" si="172"/>
        <v>0</v>
      </c>
      <c r="O300" s="42">
        <f t="shared" si="172"/>
        <v>0</v>
      </c>
      <c r="P300" s="42">
        <f t="shared" si="172"/>
        <v>0</v>
      </c>
      <c r="Q300" s="42">
        <f t="shared" si="172"/>
        <v>0</v>
      </c>
    </row>
    <row r="301" spans="2:17" s="39" customFormat="1" ht="11.4" customHeight="1">
      <c r="B301" s="40"/>
      <c r="C301" s="41" t="s">
        <v>28</v>
      </c>
      <c r="D301" s="40"/>
      <c r="E301" s="40"/>
      <c r="F301" s="40"/>
      <c r="G301" s="42">
        <f>G112+G113+G114+G121+G131+G124</f>
        <v>898578.44400000002</v>
      </c>
      <c r="H301" s="42">
        <f t="shared" ref="H301:Q301" si="173">H112+H113+H114+H121+H131+H124</f>
        <v>762107</v>
      </c>
      <c r="I301" s="42">
        <f>I112+I113+I114+I121+I131+I124</f>
        <v>884920.755</v>
      </c>
      <c r="J301" s="42">
        <f t="shared" si="173"/>
        <v>13657.689</v>
      </c>
      <c r="K301" s="42">
        <f t="shared" si="173"/>
        <v>122813.755</v>
      </c>
      <c r="L301" s="42">
        <f t="shared" si="173"/>
        <v>1387.6890000000001</v>
      </c>
      <c r="M301" s="42">
        <f t="shared" si="173"/>
        <v>9400</v>
      </c>
      <c r="N301" s="42">
        <f t="shared" si="173"/>
        <v>970</v>
      </c>
      <c r="O301" s="42">
        <f t="shared" si="173"/>
        <v>1900</v>
      </c>
      <c r="P301" s="42">
        <f t="shared" si="173"/>
        <v>0</v>
      </c>
      <c r="Q301" s="42">
        <f t="shared" si="173"/>
        <v>0</v>
      </c>
    </row>
    <row r="302" spans="2:17" s="39" customFormat="1" ht="11.4" customHeight="1">
      <c r="B302" s="37"/>
      <c r="C302" s="38" t="s">
        <v>110</v>
      </c>
      <c r="D302" s="37"/>
      <c r="E302" s="37"/>
      <c r="F302" s="37"/>
      <c r="G302" s="43">
        <f>SUM(G303:G307)</f>
        <v>152518.29799999998</v>
      </c>
      <c r="H302" s="43">
        <f t="shared" ref="H302:Q302" si="174">SUM(H303:H307)</f>
        <v>43501.398999999998</v>
      </c>
      <c r="I302" s="43">
        <f>SUM(I303:I307)</f>
        <v>48089.237999999998</v>
      </c>
      <c r="J302" s="43">
        <f t="shared" si="174"/>
        <v>104429.06</v>
      </c>
      <c r="K302" s="43">
        <f t="shared" si="174"/>
        <v>4587.8389999999999</v>
      </c>
      <c r="L302" s="43">
        <f t="shared" si="174"/>
        <v>8523.06</v>
      </c>
      <c r="M302" s="43">
        <f t="shared" si="174"/>
        <v>12806</v>
      </c>
      <c r="N302" s="43">
        <f t="shared" si="174"/>
        <v>4300</v>
      </c>
      <c r="O302" s="43">
        <f t="shared" si="174"/>
        <v>21050</v>
      </c>
      <c r="P302" s="43">
        <f t="shared" si="174"/>
        <v>57750</v>
      </c>
      <c r="Q302" s="43">
        <f t="shared" si="174"/>
        <v>0</v>
      </c>
    </row>
    <row r="303" spans="2:17" s="39" customFormat="1" ht="11.4" customHeight="1">
      <c r="B303" s="40"/>
      <c r="C303" s="41" t="s">
        <v>23</v>
      </c>
      <c r="D303" s="40"/>
      <c r="E303" s="40"/>
      <c r="F303" s="40"/>
      <c r="G303" s="42">
        <f>G140+G142+G144+G147+G149+G151</f>
        <v>150567.29799999998</v>
      </c>
      <c r="H303" s="42">
        <f t="shared" ref="H303:Q303" si="175">H140+H142+H144+H147+H149+H151</f>
        <v>43000.398999999998</v>
      </c>
      <c r="I303" s="42">
        <f>I140+I142+I144+I147+I149+I151</f>
        <v>47588.237999999998</v>
      </c>
      <c r="J303" s="42">
        <f t="shared" si="175"/>
        <v>102979.06</v>
      </c>
      <c r="K303" s="42">
        <f t="shared" si="175"/>
        <v>4587.8389999999999</v>
      </c>
      <c r="L303" s="42">
        <f t="shared" si="175"/>
        <v>7073.0599999999995</v>
      </c>
      <c r="M303" s="42">
        <f t="shared" si="175"/>
        <v>12806</v>
      </c>
      <c r="N303" s="42">
        <f t="shared" si="175"/>
        <v>4300</v>
      </c>
      <c r="O303" s="42">
        <f t="shared" si="175"/>
        <v>21050</v>
      </c>
      <c r="P303" s="42">
        <f t="shared" si="175"/>
        <v>57750</v>
      </c>
      <c r="Q303" s="42">
        <f t="shared" si="175"/>
        <v>0</v>
      </c>
    </row>
    <row r="304" spans="2:17" s="39" customFormat="1" ht="11.4" customHeight="1">
      <c r="B304" s="40"/>
      <c r="C304" s="41" t="s">
        <v>36</v>
      </c>
      <c r="D304" s="40"/>
      <c r="E304" s="40"/>
      <c r="F304" s="40"/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</row>
    <row r="305" spans="2:17" s="39" customFormat="1" ht="11.4" customHeight="1">
      <c r="B305" s="40"/>
      <c r="C305" s="41" t="s">
        <v>197</v>
      </c>
      <c r="D305" s="40"/>
      <c r="E305" s="40"/>
      <c r="F305" s="40"/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</row>
    <row r="306" spans="2:17" s="39" customFormat="1" ht="11.4" customHeight="1">
      <c r="B306" s="40"/>
      <c r="C306" s="41" t="s">
        <v>159</v>
      </c>
      <c r="D306" s="40"/>
      <c r="E306" s="40"/>
      <c r="F306" s="40"/>
      <c r="G306" s="42">
        <v>0</v>
      </c>
      <c r="H306" s="42">
        <v>0</v>
      </c>
      <c r="I306" s="42">
        <v>0</v>
      </c>
      <c r="J306" s="42">
        <v>0</v>
      </c>
      <c r="K306" s="42">
        <v>0</v>
      </c>
      <c r="L306" s="42">
        <v>0</v>
      </c>
      <c r="M306" s="42">
        <v>0</v>
      </c>
      <c r="N306" s="42">
        <v>0</v>
      </c>
      <c r="O306" s="42">
        <v>0</v>
      </c>
      <c r="P306" s="42">
        <v>0</v>
      </c>
      <c r="Q306" s="42">
        <v>0</v>
      </c>
    </row>
    <row r="307" spans="2:17" s="39" customFormat="1" ht="11.4" customHeight="1">
      <c r="B307" s="40"/>
      <c r="C307" s="41" t="s">
        <v>28</v>
      </c>
      <c r="D307" s="40"/>
      <c r="E307" s="40"/>
      <c r="F307" s="40"/>
      <c r="G307" s="42">
        <f>G145</f>
        <v>1951</v>
      </c>
      <c r="H307" s="42">
        <f t="shared" ref="H307:Q307" si="176">H145</f>
        <v>501</v>
      </c>
      <c r="I307" s="42">
        <f>I145</f>
        <v>501</v>
      </c>
      <c r="J307" s="42">
        <f t="shared" si="176"/>
        <v>1450</v>
      </c>
      <c r="K307" s="42">
        <f t="shared" si="176"/>
        <v>0</v>
      </c>
      <c r="L307" s="42">
        <f t="shared" si="176"/>
        <v>1450</v>
      </c>
      <c r="M307" s="42">
        <f t="shared" si="176"/>
        <v>0</v>
      </c>
      <c r="N307" s="42">
        <f t="shared" si="176"/>
        <v>0</v>
      </c>
      <c r="O307" s="42">
        <f t="shared" si="176"/>
        <v>0</v>
      </c>
      <c r="P307" s="42">
        <f t="shared" si="176"/>
        <v>0</v>
      </c>
      <c r="Q307" s="42">
        <f t="shared" si="176"/>
        <v>0</v>
      </c>
    </row>
    <row r="308" spans="2:17" s="39" customFormat="1" ht="11.4" customHeight="1">
      <c r="B308" s="37"/>
      <c r="C308" s="38" t="s">
        <v>205</v>
      </c>
      <c r="D308" s="37"/>
      <c r="E308" s="37"/>
      <c r="F308" s="37"/>
      <c r="G308" s="43">
        <f>SUM(G309:G313)</f>
        <v>154027.74300000002</v>
      </c>
      <c r="H308" s="43">
        <f t="shared" ref="H308:Q308" si="177">SUM(H309:H313)</f>
        <v>90067.69</v>
      </c>
      <c r="I308" s="43">
        <f>SUM(I309:I313)</f>
        <v>98974.713000000003</v>
      </c>
      <c r="J308" s="43">
        <f t="shared" si="177"/>
        <v>55053.03</v>
      </c>
      <c r="K308" s="43">
        <f t="shared" si="177"/>
        <v>8907.023000000001</v>
      </c>
      <c r="L308" s="43">
        <f t="shared" si="177"/>
        <v>13603.03</v>
      </c>
      <c r="M308" s="43">
        <f t="shared" si="177"/>
        <v>8250</v>
      </c>
      <c r="N308" s="43">
        <f t="shared" si="177"/>
        <v>13200</v>
      </c>
      <c r="O308" s="43">
        <f t="shared" si="177"/>
        <v>10000</v>
      </c>
      <c r="P308" s="43">
        <f t="shared" si="177"/>
        <v>10000</v>
      </c>
      <c r="Q308" s="43">
        <f t="shared" si="177"/>
        <v>0</v>
      </c>
    </row>
    <row r="309" spans="2:17" s="39" customFormat="1" ht="11.4" customHeight="1">
      <c r="B309" s="40"/>
      <c r="C309" s="41" t="s">
        <v>23</v>
      </c>
      <c r="D309" s="40"/>
      <c r="E309" s="40"/>
      <c r="F309" s="40"/>
      <c r="G309" s="42">
        <f>G154+G156+G160+G162</f>
        <v>152637.74300000002</v>
      </c>
      <c r="H309" s="42">
        <f t="shared" ref="H309:Q309" si="178">H154+H156+H160+H162</f>
        <v>90067.69</v>
      </c>
      <c r="I309" s="42">
        <f>I154+I156+I160+I162</f>
        <v>98974.713000000003</v>
      </c>
      <c r="J309" s="42">
        <f t="shared" si="178"/>
        <v>53663.03</v>
      </c>
      <c r="K309" s="42">
        <f t="shared" si="178"/>
        <v>8907.023000000001</v>
      </c>
      <c r="L309" s="42">
        <f t="shared" si="178"/>
        <v>13423.03</v>
      </c>
      <c r="M309" s="42">
        <f t="shared" si="178"/>
        <v>7820</v>
      </c>
      <c r="N309" s="42">
        <f t="shared" si="178"/>
        <v>12420</v>
      </c>
      <c r="O309" s="42">
        <f t="shared" si="178"/>
        <v>10000</v>
      </c>
      <c r="P309" s="42">
        <f t="shared" si="178"/>
        <v>10000</v>
      </c>
      <c r="Q309" s="42">
        <f t="shared" si="178"/>
        <v>0</v>
      </c>
    </row>
    <row r="310" spans="2:17" s="39" customFormat="1" ht="11.4" customHeight="1">
      <c r="B310" s="40"/>
      <c r="C310" s="41" t="s">
        <v>36</v>
      </c>
      <c r="D310" s="40"/>
      <c r="E310" s="40"/>
      <c r="F310" s="40"/>
      <c r="G310" s="42">
        <f>G157</f>
        <v>850</v>
      </c>
      <c r="H310" s="42">
        <f>H157</f>
        <v>0</v>
      </c>
      <c r="I310" s="42">
        <f>I157</f>
        <v>0</v>
      </c>
      <c r="J310" s="42">
        <f>J157</f>
        <v>850</v>
      </c>
      <c r="K310" s="42">
        <f>K157</f>
        <v>0</v>
      </c>
      <c r="L310" s="42">
        <f t="shared" ref="L310:Q310" si="179">L157</f>
        <v>0</v>
      </c>
      <c r="M310" s="42">
        <f t="shared" si="179"/>
        <v>250</v>
      </c>
      <c r="N310" s="42">
        <f t="shared" si="179"/>
        <v>600</v>
      </c>
      <c r="O310" s="42">
        <f t="shared" si="179"/>
        <v>0</v>
      </c>
      <c r="P310" s="42">
        <f t="shared" si="179"/>
        <v>0</v>
      </c>
      <c r="Q310" s="42">
        <f t="shared" si="179"/>
        <v>0</v>
      </c>
    </row>
    <row r="311" spans="2:17" s="39" customFormat="1" ht="11.4" customHeight="1">
      <c r="B311" s="40"/>
      <c r="C311" s="41" t="s">
        <v>197</v>
      </c>
      <c r="D311" s="40"/>
      <c r="E311" s="40"/>
      <c r="F311" s="40"/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</row>
    <row r="312" spans="2:17" s="39" customFormat="1" ht="11.4" customHeight="1">
      <c r="B312" s="40"/>
      <c r="C312" s="41" t="s">
        <v>159</v>
      </c>
      <c r="D312" s="40"/>
      <c r="E312" s="40"/>
      <c r="F312" s="40"/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</row>
    <row r="313" spans="2:17" s="39" customFormat="1" ht="11.4" customHeight="1">
      <c r="B313" s="40"/>
      <c r="C313" s="41" t="s">
        <v>28</v>
      </c>
      <c r="D313" s="40"/>
      <c r="E313" s="40"/>
      <c r="F313" s="40"/>
      <c r="G313" s="42">
        <f>G158</f>
        <v>540</v>
      </c>
      <c r="H313" s="42">
        <f>H158</f>
        <v>0</v>
      </c>
      <c r="I313" s="42">
        <f>I158</f>
        <v>0</v>
      </c>
      <c r="J313" s="42">
        <f>J158</f>
        <v>540</v>
      </c>
      <c r="K313" s="42">
        <f>K158</f>
        <v>0</v>
      </c>
      <c r="L313" s="42">
        <f t="shared" ref="L313:Q313" si="180">L158</f>
        <v>180</v>
      </c>
      <c r="M313" s="42">
        <f t="shared" si="180"/>
        <v>180</v>
      </c>
      <c r="N313" s="42">
        <f t="shared" si="180"/>
        <v>180</v>
      </c>
      <c r="O313" s="42">
        <f t="shared" si="180"/>
        <v>0</v>
      </c>
      <c r="P313" s="42">
        <f t="shared" si="180"/>
        <v>0</v>
      </c>
      <c r="Q313" s="42">
        <f t="shared" si="180"/>
        <v>0</v>
      </c>
    </row>
    <row r="314" spans="2:17" s="39" customFormat="1" ht="11.4" customHeight="1">
      <c r="B314" s="37"/>
      <c r="C314" s="38" t="s">
        <v>128</v>
      </c>
      <c r="D314" s="37"/>
      <c r="E314" s="37"/>
      <c r="F314" s="37"/>
      <c r="G314" s="43">
        <f>SUM(G315:G319)</f>
        <v>19772.107</v>
      </c>
      <c r="H314" s="43">
        <f t="shared" ref="H314:Q314" si="181">SUM(H315:H319)</f>
        <v>8651.2440000000006</v>
      </c>
      <c r="I314" s="43">
        <f>SUM(I315:I319)</f>
        <v>12118.04</v>
      </c>
      <c r="J314" s="43">
        <f t="shared" si="181"/>
        <v>7654.067</v>
      </c>
      <c r="K314" s="43">
        <f t="shared" si="181"/>
        <v>3466.7959999999998</v>
      </c>
      <c r="L314" s="43">
        <f t="shared" si="181"/>
        <v>2792.3630000000003</v>
      </c>
      <c r="M314" s="43">
        <f t="shared" si="181"/>
        <v>2861.7039999999997</v>
      </c>
      <c r="N314" s="43">
        <f t="shared" si="181"/>
        <v>2000</v>
      </c>
      <c r="O314" s="43">
        <f t="shared" si="181"/>
        <v>0</v>
      </c>
      <c r="P314" s="43">
        <f t="shared" si="181"/>
        <v>0</v>
      </c>
      <c r="Q314" s="43">
        <f t="shared" si="181"/>
        <v>0</v>
      </c>
    </row>
    <row r="315" spans="2:17" s="39" customFormat="1" ht="11.4" customHeight="1">
      <c r="B315" s="40"/>
      <c r="C315" s="41" t="s">
        <v>23</v>
      </c>
      <c r="D315" s="40"/>
      <c r="E315" s="40"/>
      <c r="F315" s="40"/>
      <c r="G315" s="42">
        <f>G165+G167+G169</f>
        <v>19772.107</v>
      </c>
      <c r="H315" s="42">
        <f t="shared" ref="H315:Q315" si="182">H165+H167+H169</f>
        <v>8651.2440000000006</v>
      </c>
      <c r="I315" s="42">
        <f>I165+I167+I169</f>
        <v>12118.04</v>
      </c>
      <c r="J315" s="42">
        <f t="shared" si="182"/>
        <v>7654.067</v>
      </c>
      <c r="K315" s="42">
        <f t="shared" si="182"/>
        <v>3466.7959999999998</v>
      </c>
      <c r="L315" s="42">
        <f t="shared" si="182"/>
        <v>2792.3630000000003</v>
      </c>
      <c r="M315" s="42">
        <f t="shared" si="182"/>
        <v>2861.7039999999997</v>
      </c>
      <c r="N315" s="42">
        <f t="shared" si="182"/>
        <v>2000</v>
      </c>
      <c r="O315" s="42">
        <f t="shared" si="182"/>
        <v>0</v>
      </c>
      <c r="P315" s="42">
        <f t="shared" si="182"/>
        <v>0</v>
      </c>
      <c r="Q315" s="42">
        <f t="shared" si="182"/>
        <v>0</v>
      </c>
    </row>
    <row r="316" spans="2:17" s="39" customFormat="1" ht="11.4" customHeight="1">
      <c r="B316" s="40"/>
      <c r="C316" s="41" t="s">
        <v>36</v>
      </c>
      <c r="D316" s="40"/>
      <c r="E316" s="40"/>
      <c r="F316" s="40"/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</row>
    <row r="317" spans="2:17" s="39" customFormat="1" ht="11.4" customHeight="1">
      <c r="B317" s="40"/>
      <c r="C317" s="41" t="s">
        <v>197</v>
      </c>
      <c r="D317" s="40"/>
      <c r="E317" s="40"/>
      <c r="F317" s="40"/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</row>
    <row r="318" spans="2:17" s="39" customFormat="1" ht="11.4" customHeight="1">
      <c r="B318" s="40"/>
      <c r="C318" s="41" t="s">
        <v>159</v>
      </c>
      <c r="D318" s="40"/>
      <c r="E318" s="40"/>
      <c r="F318" s="40"/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  <c r="P318" s="42">
        <v>0</v>
      </c>
      <c r="Q318" s="42">
        <v>0</v>
      </c>
    </row>
    <row r="319" spans="2:17" s="39" customFormat="1" ht="11.4" customHeight="1">
      <c r="B319" s="40"/>
      <c r="C319" s="41" t="s">
        <v>28</v>
      </c>
      <c r="D319" s="40"/>
      <c r="E319" s="40"/>
      <c r="F319" s="40"/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</row>
    <row r="320" spans="2:17" s="39" customFormat="1" ht="11.4" customHeight="1">
      <c r="B320" s="37"/>
      <c r="C320" s="38" t="s">
        <v>132</v>
      </c>
      <c r="D320" s="37"/>
      <c r="E320" s="37"/>
      <c r="F320" s="37"/>
      <c r="G320" s="43">
        <f>SUM(G321:G325)</f>
        <v>1005213.2429999999</v>
      </c>
      <c r="H320" s="43">
        <f t="shared" ref="H320:Q320" si="183">SUM(H321:H325)</f>
        <v>314524.99600000004</v>
      </c>
      <c r="I320" s="43">
        <f>SUM(I321:I325)</f>
        <v>355427.44300000003</v>
      </c>
      <c r="J320" s="43">
        <f t="shared" si="183"/>
        <v>481949.8</v>
      </c>
      <c r="K320" s="43">
        <f t="shared" si="183"/>
        <v>40902.447</v>
      </c>
      <c r="L320" s="43">
        <f t="shared" si="183"/>
        <v>88486</v>
      </c>
      <c r="M320" s="43">
        <f t="shared" si="183"/>
        <v>74097</v>
      </c>
      <c r="N320" s="43">
        <f t="shared" si="183"/>
        <v>129429</v>
      </c>
      <c r="O320" s="43">
        <f t="shared" si="183"/>
        <v>104618.8</v>
      </c>
      <c r="P320" s="43">
        <f t="shared" si="183"/>
        <v>85319</v>
      </c>
      <c r="Q320" s="43">
        <f t="shared" si="183"/>
        <v>167836</v>
      </c>
    </row>
    <row r="321" spans="2:17" s="39" customFormat="1" ht="11.4" customHeight="1">
      <c r="B321" s="40"/>
      <c r="C321" s="41" t="s">
        <v>23</v>
      </c>
      <c r="D321" s="40"/>
      <c r="E321" s="40"/>
      <c r="F321" s="40"/>
      <c r="G321" s="42">
        <f>G172+G174+G176+G179+G182+G184+G186+G188+G190</f>
        <v>979986.2429999999</v>
      </c>
      <c r="H321" s="42">
        <f t="shared" ref="H321:Q321" si="184">H172+H174+H176+H179+H182+H184+H186+H188+H190</f>
        <v>313484.99600000004</v>
      </c>
      <c r="I321" s="42">
        <f>I172+I174+I176+I179+I182+I184+I186+I188+I190</f>
        <v>354387.44300000003</v>
      </c>
      <c r="J321" s="42">
        <f t="shared" si="184"/>
        <v>457762.8</v>
      </c>
      <c r="K321" s="42">
        <f t="shared" si="184"/>
        <v>40902.447</v>
      </c>
      <c r="L321" s="42">
        <f t="shared" si="184"/>
        <v>88486</v>
      </c>
      <c r="M321" s="42">
        <f t="shared" si="184"/>
        <v>74097</v>
      </c>
      <c r="N321" s="42">
        <f t="shared" si="184"/>
        <v>105242</v>
      </c>
      <c r="O321" s="42">
        <f t="shared" si="184"/>
        <v>104618.8</v>
      </c>
      <c r="P321" s="42">
        <f t="shared" si="184"/>
        <v>85319</v>
      </c>
      <c r="Q321" s="42">
        <f t="shared" si="184"/>
        <v>167836</v>
      </c>
    </row>
    <row r="322" spans="2:17" s="39" customFormat="1" ht="11.4" customHeight="1">
      <c r="B322" s="40"/>
      <c r="C322" s="41" t="s">
        <v>36</v>
      </c>
      <c r="D322" s="40"/>
      <c r="E322" s="40"/>
      <c r="F322" s="40"/>
      <c r="G322" s="42">
        <f>G180</f>
        <v>24187</v>
      </c>
      <c r="H322" s="42">
        <f t="shared" ref="H322:Q322" si="185">H180</f>
        <v>0</v>
      </c>
      <c r="I322" s="42">
        <f>I180</f>
        <v>0</v>
      </c>
      <c r="J322" s="42">
        <f t="shared" si="185"/>
        <v>24187</v>
      </c>
      <c r="K322" s="42">
        <f t="shared" si="185"/>
        <v>0</v>
      </c>
      <c r="L322" s="42">
        <f t="shared" si="185"/>
        <v>0</v>
      </c>
      <c r="M322" s="42">
        <f t="shared" si="185"/>
        <v>0</v>
      </c>
      <c r="N322" s="42">
        <f t="shared" si="185"/>
        <v>24187</v>
      </c>
      <c r="O322" s="42">
        <f t="shared" si="185"/>
        <v>0</v>
      </c>
      <c r="P322" s="42">
        <f t="shared" si="185"/>
        <v>0</v>
      </c>
      <c r="Q322" s="42">
        <f t="shared" si="185"/>
        <v>0</v>
      </c>
    </row>
    <row r="323" spans="2:17" s="39" customFormat="1" ht="11.4" customHeight="1">
      <c r="B323" s="40"/>
      <c r="C323" s="41" t="s">
        <v>197</v>
      </c>
      <c r="D323" s="40"/>
      <c r="E323" s="40"/>
      <c r="F323" s="40"/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</row>
    <row r="324" spans="2:17" s="39" customFormat="1" ht="11.4" customHeight="1">
      <c r="B324" s="40"/>
      <c r="C324" s="41" t="s">
        <v>159</v>
      </c>
      <c r="D324" s="40"/>
      <c r="E324" s="40"/>
      <c r="F324" s="40"/>
      <c r="G324" s="42">
        <f>G177</f>
        <v>1040</v>
      </c>
      <c r="H324" s="42">
        <f t="shared" ref="H324:Q324" si="186">H177</f>
        <v>1040</v>
      </c>
      <c r="I324" s="42">
        <f>I177</f>
        <v>1040</v>
      </c>
      <c r="J324" s="42">
        <f t="shared" si="186"/>
        <v>0</v>
      </c>
      <c r="K324" s="42">
        <f t="shared" si="186"/>
        <v>0</v>
      </c>
      <c r="L324" s="42">
        <f t="shared" si="186"/>
        <v>0</v>
      </c>
      <c r="M324" s="42">
        <f t="shared" si="186"/>
        <v>0</v>
      </c>
      <c r="N324" s="42">
        <f t="shared" si="186"/>
        <v>0</v>
      </c>
      <c r="O324" s="42">
        <f t="shared" si="186"/>
        <v>0</v>
      </c>
      <c r="P324" s="42">
        <f t="shared" si="186"/>
        <v>0</v>
      </c>
      <c r="Q324" s="42">
        <f t="shared" si="186"/>
        <v>0</v>
      </c>
    </row>
    <row r="325" spans="2:17" s="39" customFormat="1" ht="11.4" customHeight="1">
      <c r="B325" s="40"/>
      <c r="C325" s="41" t="s">
        <v>28</v>
      </c>
      <c r="D325" s="40"/>
      <c r="E325" s="40"/>
      <c r="F325" s="40"/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</row>
    <row r="326" spans="2:17" s="39" customFormat="1" ht="11.4" customHeight="1">
      <c r="B326" s="37"/>
      <c r="C326" s="38" t="s">
        <v>144</v>
      </c>
      <c r="D326" s="37"/>
      <c r="E326" s="37"/>
      <c r="F326" s="37"/>
      <c r="G326" s="43">
        <f>SUM(G327:G331)</f>
        <v>13450</v>
      </c>
      <c r="H326" s="43">
        <f t="shared" ref="H326:Q326" si="187">SUM(H327:H331)</f>
        <v>0</v>
      </c>
      <c r="I326" s="43">
        <f>SUM(I327:I331)</f>
        <v>0</v>
      </c>
      <c r="J326" s="43">
        <f t="shared" si="187"/>
        <v>13450</v>
      </c>
      <c r="K326" s="43">
        <f t="shared" si="187"/>
        <v>0</v>
      </c>
      <c r="L326" s="43">
        <f t="shared" si="187"/>
        <v>3050</v>
      </c>
      <c r="M326" s="43">
        <f t="shared" si="187"/>
        <v>2350</v>
      </c>
      <c r="N326" s="43">
        <f t="shared" si="187"/>
        <v>1050</v>
      </c>
      <c r="O326" s="43">
        <f t="shared" si="187"/>
        <v>2000</v>
      </c>
      <c r="P326" s="43">
        <f t="shared" si="187"/>
        <v>5000</v>
      </c>
      <c r="Q326" s="43">
        <f t="shared" si="187"/>
        <v>0</v>
      </c>
    </row>
    <row r="327" spans="2:17" s="39" customFormat="1" ht="11.4" customHeight="1">
      <c r="B327" s="40"/>
      <c r="C327" s="41" t="s">
        <v>23</v>
      </c>
      <c r="D327" s="40"/>
      <c r="E327" s="40"/>
      <c r="F327" s="40"/>
      <c r="G327" s="42">
        <f>G193+G195+G197</f>
        <v>13450</v>
      </c>
      <c r="H327" s="42">
        <f t="shared" ref="H327:Q327" si="188">H193+H195+H197</f>
        <v>0</v>
      </c>
      <c r="I327" s="42">
        <f>I193+I195+I197</f>
        <v>0</v>
      </c>
      <c r="J327" s="42">
        <f t="shared" si="188"/>
        <v>13450</v>
      </c>
      <c r="K327" s="42">
        <f t="shared" si="188"/>
        <v>0</v>
      </c>
      <c r="L327" s="42">
        <f t="shared" si="188"/>
        <v>3050</v>
      </c>
      <c r="M327" s="42">
        <f t="shared" si="188"/>
        <v>2350</v>
      </c>
      <c r="N327" s="42">
        <f t="shared" si="188"/>
        <v>1050</v>
      </c>
      <c r="O327" s="42">
        <f t="shared" si="188"/>
        <v>2000</v>
      </c>
      <c r="P327" s="42">
        <f t="shared" si="188"/>
        <v>5000</v>
      </c>
      <c r="Q327" s="42">
        <f t="shared" si="188"/>
        <v>0</v>
      </c>
    </row>
    <row r="328" spans="2:17" s="39" customFormat="1" ht="11.4" customHeight="1">
      <c r="B328" s="40"/>
      <c r="C328" s="41" t="s">
        <v>36</v>
      </c>
      <c r="D328" s="40"/>
      <c r="E328" s="40"/>
      <c r="F328" s="40"/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</row>
    <row r="329" spans="2:17" s="39" customFormat="1" ht="11.4" customHeight="1">
      <c r="B329" s="40"/>
      <c r="C329" s="41" t="s">
        <v>197</v>
      </c>
      <c r="D329" s="40"/>
      <c r="E329" s="40"/>
      <c r="F329" s="40"/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</row>
    <row r="330" spans="2:17" s="39" customFormat="1" ht="11.4" customHeight="1">
      <c r="B330" s="40"/>
      <c r="C330" s="41" t="s">
        <v>159</v>
      </c>
      <c r="D330" s="40"/>
      <c r="E330" s="40"/>
      <c r="F330" s="40"/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</row>
    <row r="331" spans="2:17" s="39" customFormat="1" ht="11.4" customHeight="1">
      <c r="B331" s="40"/>
      <c r="C331" s="41" t="s">
        <v>28</v>
      </c>
      <c r="D331" s="40"/>
      <c r="E331" s="40"/>
      <c r="F331" s="40"/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  <c r="P331" s="42">
        <v>0</v>
      </c>
      <c r="Q331" s="42">
        <v>0</v>
      </c>
    </row>
    <row r="332" spans="2:17" s="39" customFormat="1" ht="11.4" customHeight="1">
      <c r="B332" s="37"/>
      <c r="C332" s="38" t="s">
        <v>210</v>
      </c>
      <c r="D332" s="37"/>
      <c r="E332" s="37"/>
      <c r="F332" s="37"/>
      <c r="G332" s="43">
        <f>SUM(G333:G337)</f>
        <v>73372.481</v>
      </c>
      <c r="H332" s="43">
        <f t="shared" ref="H332:Q332" si="189">SUM(H333:H337)</f>
        <v>44773.906999999999</v>
      </c>
      <c r="I332" s="43">
        <f>SUM(I333:I337)</f>
        <v>46322.481</v>
      </c>
      <c r="J332" s="43">
        <f t="shared" si="189"/>
        <v>25150</v>
      </c>
      <c r="K332" s="43">
        <f t="shared" si="189"/>
        <v>1548.5740000000001</v>
      </c>
      <c r="L332" s="43">
        <f t="shared" si="189"/>
        <v>3400</v>
      </c>
      <c r="M332" s="43">
        <f t="shared" si="189"/>
        <v>5150</v>
      </c>
      <c r="N332" s="43">
        <f t="shared" si="189"/>
        <v>6450</v>
      </c>
      <c r="O332" s="43">
        <f t="shared" si="189"/>
        <v>5000</v>
      </c>
      <c r="P332" s="43">
        <f t="shared" si="189"/>
        <v>5150</v>
      </c>
      <c r="Q332" s="43">
        <f t="shared" si="189"/>
        <v>1900</v>
      </c>
    </row>
    <row r="333" spans="2:17" s="39" customFormat="1" ht="11.4" customHeight="1">
      <c r="B333" s="40"/>
      <c r="C333" s="41" t="s">
        <v>23</v>
      </c>
      <c r="D333" s="40"/>
      <c r="E333" s="40"/>
      <c r="F333" s="40"/>
      <c r="G333" s="42">
        <f>G200+G203+G205</f>
        <v>68322.260999999999</v>
      </c>
      <c r="H333" s="42">
        <f t="shared" ref="H333:Q333" si="190">H200+H203+H205</f>
        <v>39723.686999999998</v>
      </c>
      <c r="I333" s="42">
        <f>I200+I203+I205</f>
        <v>41272.260999999999</v>
      </c>
      <c r="J333" s="42">
        <f t="shared" si="190"/>
        <v>25150</v>
      </c>
      <c r="K333" s="42">
        <f t="shared" si="190"/>
        <v>1548.5740000000001</v>
      </c>
      <c r="L333" s="42">
        <f t="shared" si="190"/>
        <v>3400</v>
      </c>
      <c r="M333" s="42">
        <f t="shared" si="190"/>
        <v>5150</v>
      </c>
      <c r="N333" s="42">
        <f t="shared" si="190"/>
        <v>6450</v>
      </c>
      <c r="O333" s="42">
        <f t="shared" si="190"/>
        <v>5000</v>
      </c>
      <c r="P333" s="42">
        <f t="shared" si="190"/>
        <v>5150</v>
      </c>
      <c r="Q333" s="42">
        <f t="shared" si="190"/>
        <v>1900</v>
      </c>
    </row>
    <row r="334" spans="2:17" s="39" customFormat="1" ht="11.4" customHeight="1">
      <c r="B334" s="40"/>
      <c r="C334" s="41" t="s">
        <v>36</v>
      </c>
      <c r="D334" s="40"/>
      <c r="E334" s="40"/>
      <c r="F334" s="40"/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</row>
    <row r="335" spans="2:17" s="39" customFormat="1" ht="11.4" customHeight="1">
      <c r="B335" s="40"/>
      <c r="C335" s="41" t="s">
        <v>197</v>
      </c>
      <c r="D335" s="40"/>
      <c r="E335" s="40"/>
      <c r="F335" s="40"/>
      <c r="G335" s="42">
        <f>G201</f>
        <v>5050.22</v>
      </c>
      <c r="H335" s="42">
        <f t="shared" ref="H335:Q335" si="191">H201</f>
        <v>5050.22</v>
      </c>
      <c r="I335" s="42">
        <f>I201</f>
        <v>5050.22</v>
      </c>
      <c r="J335" s="42">
        <f t="shared" si="191"/>
        <v>0</v>
      </c>
      <c r="K335" s="42">
        <f t="shared" si="191"/>
        <v>0</v>
      </c>
      <c r="L335" s="42">
        <f t="shared" si="191"/>
        <v>0</v>
      </c>
      <c r="M335" s="42">
        <f t="shared" si="191"/>
        <v>0</v>
      </c>
      <c r="N335" s="42">
        <f t="shared" si="191"/>
        <v>0</v>
      </c>
      <c r="O335" s="42">
        <f t="shared" si="191"/>
        <v>0</v>
      </c>
      <c r="P335" s="42">
        <f t="shared" si="191"/>
        <v>0</v>
      </c>
      <c r="Q335" s="42">
        <f t="shared" si="191"/>
        <v>0</v>
      </c>
    </row>
    <row r="336" spans="2:17" s="39" customFormat="1" ht="11.4" customHeight="1">
      <c r="B336" s="40"/>
      <c r="C336" s="41" t="s">
        <v>159</v>
      </c>
      <c r="D336" s="40"/>
      <c r="E336" s="40"/>
      <c r="F336" s="40"/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</row>
    <row r="337" spans="2:17" s="39" customFormat="1" ht="11.4" customHeight="1">
      <c r="B337" s="40"/>
      <c r="C337" s="41" t="s">
        <v>28</v>
      </c>
      <c r="D337" s="40"/>
      <c r="E337" s="40"/>
      <c r="F337" s="40"/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</row>
    <row r="338" spans="2:17" s="39" customFormat="1" ht="11.4" customHeight="1">
      <c r="B338" s="37"/>
      <c r="C338" s="38" t="s">
        <v>151</v>
      </c>
      <c r="D338" s="37"/>
      <c r="E338" s="37"/>
      <c r="F338" s="37"/>
      <c r="G338" s="43">
        <f>SUM(G339:G343)</f>
        <v>93008.33600000001</v>
      </c>
      <c r="H338" s="43">
        <f t="shared" ref="H338:Q338" si="192">SUM(H339:H343)</f>
        <v>49349.123999999996</v>
      </c>
      <c r="I338" s="43">
        <f>SUM(I339:I343)</f>
        <v>53492.229999999996</v>
      </c>
      <c r="J338" s="43">
        <f t="shared" si="192"/>
        <v>29416.106</v>
      </c>
      <c r="K338" s="43">
        <f t="shared" si="192"/>
        <v>4143.1059999999998</v>
      </c>
      <c r="L338" s="43">
        <f t="shared" si="192"/>
        <v>6466.1059999999998</v>
      </c>
      <c r="M338" s="43">
        <f t="shared" si="192"/>
        <v>4000</v>
      </c>
      <c r="N338" s="43">
        <f t="shared" si="192"/>
        <v>4660</v>
      </c>
      <c r="O338" s="43">
        <f t="shared" si="192"/>
        <v>7690</v>
      </c>
      <c r="P338" s="43">
        <f t="shared" si="192"/>
        <v>6600</v>
      </c>
      <c r="Q338" s="43">
        <f t="shared" si="192"/>
        <v>10100</v>
      </c>
    </row>
    <row r="339" spans="2:17" s="39" customFormat="1" ht="11.4" customHeight="1">
      <c r="B339" s="40"/>
      <c r="C339" s="41" t="s">
        <v>23</v>
      </c>
      <c r="D339" s="40"/>
      <c r="E339" s="40"/>
      <c r="F339" s="40"/>
      <c r="G339" s="42">
        <f>G208+G210</f>
        <v>93008.33600000001</v>
      </c>
      <c r="H339" s="42">
        <f t="shared" ref="H339:Q339" si="193">H208+H210</f>
        <v>49349.123999999996</v>
      </c>
      <c r="I339" s="42">
        <f>I208+I210</f>
        <v>53492.229999999996</v>
      </c>
      <c r="J339" s="42">
        <f t="shared" si="193"/>
        <v>29416.106</v>
      </c>
      <c r="K339" s="42">
        <f t="shared" si="193"/>
        <v>4143.1059999999998</v>
      </c>
      <c r="L339" s="42">
        <f t="shared" si="193"/>
        <v>6466.1059999999998</v>
      </c>
      <c r="M339" s="42">
        <f t="shared" si="193"/>
        <v>4000</v>
      </c>
      <c r="N339" s="42">
        <f t="shared" si="193"/>
        <v>4660</v>
      </c>
      <c r="O339" s="42">
        <f t="shared" si="193"/>
        <v>7690</v>
      </c>
      <c r="P339" s="42">
        <f t="shared" si="193"/>
        <v>6600</v>
      </c>
      <c r="Q339" s="42">
        <f t="shared" si="193"/>
        <v>10100</v>
      </c>
    </row>
    <row r="340" spans="2:17" s="39" customFormat="1" ht="11.4" customHeight="1">
      <c r="B340" s="40"/>
      <c r="C340" s="41" t="s">
        <v>36</v>
      </c>
      <c r="D340" s="40"/>
      <c r="E340" s="40"/>
      <c r="F340" s="40"/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</row>
    <row r="341" spans="2:17" s="39" customFormat="1" ht="11.4" customHeight="1">
      <c r="B341" s="40"/>
      <c r="C341" s="41" t="s">
        <v>197</v>
      </c>
      <c r="D341" s="40"/>
      <c r="E341" s="40"/>
      <c r="F341" s="40"/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</row>
    <row r="342" spans="2:17" s="39" customFormat="1" ht="11.4" customHeight="1">
      <c r="B342" s="40"/>
      <c r="C342" s="41" t="s">
        <v>159</v>
      </c>
      <c r="D342" s="40"/>
      <c r="E342" s="40"/>
      <c r="F342" s="40"/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</row>
    <row r="343" spans="2:17" s="39" customFormat="1" ht="11.4" customHeight="1">
      <c r="B343" s="40"/>
      <c r="C343" s="41" t="s">
        <v>28</v>
      </c>
      <c r="D343" s="40"/>
      <c r="E343" s="40"/>
      <c r="F343" s="40"/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</row>
    <row r="344" spans="2:17" s="39" customFormat="1" ht="11.4" customHeight="1">
      <c r="B344" s="37"/>
      <c r="C344" s="38" t="s">
        <v>206</v>
      </c>
      <c r="D344" s="37"/>
      <c r="E344" s="37"/>
      <c r="F344" s="37"/>
      <c r="G344" s="43">
        <f>SUM(G345:G349)</f>
        <v>1241808.7510000002</v>
      </c>
      <c r="H344" s="43">
        <f t="shared" ref="H344:Q344" si="194">SUM(H345:H349)</f>
        <v>979809.42000000016</v>
      </c>
      <c r="I344" s="43">
        <f>SUM(I345:I349)</f>
        <v>1029979.639</v>
      </c>
      <c r="J344" s="43">
        <f t="shared" si="194"/>
        <v>196829.11199999999</v>
      </c>
      <c r="K344" s="43">
        <f t="shared" si="194"/>
        <v>50170.219000000005</v>
      </c>
      <c r="L344" s="43">
        <f t="shared" si="194"/>
        <v>71921.339000000007</v>
      </c>
      <c r="M344" s="43">
        <f t="shared" si="194"/>
        <v>42716.067999999999</v>
      </c>
      <c r="N344" s="43">
        <f t="shared" si="194"/>
        <v>41951.705000000002</v>
      </c>
      <c r="O344" s="43">
        <f t="shared" si="194"/>
        <v>29540</v>
      </c>
      <c r="P344" s="43">
        <f t="shared" si="194"/>
        <v>10700</v>
      </c>
      <c r="Q344" s="43">
        <f t="shared" si="194"/>
        <v>15000</v>
      </c>
    </row>
    <row r="345" spans="2:17" s="39" customFormat="1" ht="11.4" customHeight="1">
      <c r="B345" s="40"/>
      <c r="C345" s="41" t="s">
        <v>23</v>
      </c>
      <c r="D345" s="40"/>
      <c r="E345" s="40"/>
      <c r="F345" s="40"/>
      <c r="G345" s="42">
        <f>G213+G217+G220+G222+G226+G229+G231+G234+G236+G238+G242+G244</f>
        <v>1044140.5310000001</v>
      </c>
      <c r="H345" s="42">
        <f t="shared" ref="H345:Q345" si="195">H213+H217+H220+H222+H226+H229+H231+H234+H236+H238+H242+H244</f>
        <v>816835.80000000016</v>
      </c>
      <c r="I345" s="42">
        <f>I213+I217+I220+I222+I226+I229+I231+I234+I236+I238+I242+I244</f>
        <v>863473.06799999997</v>
      </c>
      <c r="J345" s="42">
        <f t="shared" si="195"/>
        <v>165667.46299999999</v>
      </c>
      <c r="K345" s="42">
        <f t="shared" si="195"/>
        <v>46637.268000000004</v>
      </c>
      <c r="L345" s="42">
        <f t="shared" si="195"/>
        <v>65703.69</v>
      </c>
      <c r="M345" s="42">
        <f t="shared" si="195"/>
        <v>26172.067999999999</v>
      </c>
      <c r="N345" s="42">
        <f t="shared" si="195"/>
        <v>37151.705000000002</v>
      </c>
      <c r="O345" s="42">
        <f t="shared" si="195"/>
        <v>25940</v>
      </c>
      <c r="P345" s="42">
        <f t="shared" si="195"/>
        <v>10700</v>
      </c>
      <c r="Q345" s="42">
        <f t="shared" si="195"/>
        <v>15000</v>
      </c>
    </row>
    <row r="346" spans="2:17" s="39" customFormat="1" ht="11.4" customHeight="1">
      <c r="B346" s="40"/>
      <c r="C346" s="41" t="s">
        <v>36</v>
      </c>
      <c r="D346" s="40"/>
      <c r="E346" s="40"/>
      <c r="F346" s="40"/>
      <c r="G346" s="42">
        <f>G214+G223+G239</f>
        <v>145996.62</v>
      </c>
      <c r="H346" s="42">
        <f t="shared" ref="H346:Q346" si="196">H214+H223+H239</f>
        <v>131996.62</v>
      </c>
      <c r="I346" s="42">
        <f>I214+I223+I239</f>
        <v>131996.62</v>
      </c>
      <c r="J346" s="42">
        <f t="shared" si="196"/>
        <v>14000</v>
      </c>
      <c r="K346" s="42">
        <f t="shared" si="196"/>
        <v>0</v>
      </c>
      <c r="L346" s="42">
        <f t="shared" si="196"/>
        <v>0</v>
      </c>
      <c r="M346" s="42">
        <f t="shared" si="196"/>
        <v>14000</v>
      </c>
      <c r="N346" s="42">
        <f t="shared" si="196"/>
        <v>0</v>
      </c>
      <c r="O346" s="42">
        <f t="shared" si="196"/>
        <v>0</v>
      </c>
      <c r="P346" s="42">
        <f t="shared" si="196"/>
        <v>0</v>
      </c>
      <c r="Q346" s="42">
        <f t="shared" si="196"/>
        <v>0</v>
      </c>
    </row>
    <row r="347" spans="2:17" s="39" customFormat="1" ht="11.4" customHeight="1">
      <c r="B347" s="40"/>
      <c r="C347" s="41" t="s">
        <v>197</v>
      </c>
      <c r="D347" s="40"/>
      <c r="E347" s="40"/>
      <c r="F347" s="40"/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</row>
    <row r="348" spans="2:17" s="39" customFormat="1" ht="11.4" customHeight="1">
      <c r="B348" s="40"/>
      <c r="C348" s="41" t="s">
        <v>159</v>
      </c>
      <c r="D348" s="40"/>
      <c r="E348" s="40"/>
      <c r="F348" s="40"/>
      <c r="G348" s="42">
        <f>G218+G227+G232</f>
        <v>28870.6</v>
      </c>
      <c r="H348" s="42">
        <f t="shared" ref="H348:Q348" si="197">H218+H227+H232</f>
        <v>8320</v>
      </c>
      <c r="I348" s="42">
        <f>I218+I227+I232</f>
        <v>11852.951000000001</v>
      </c>
      <c r="J348" s="42">
        <f t="shared" si="197"/>
        <v>17017.649000000001</v>
      </c>
      <c r="K348" s="42">
        <f t="shared" si="197"/>
        <v>3532.951</v>
      </c>
      <c r="L348" s="42">
        <f t="shared" si="197"/>
        <v>6217.6489999999994</v>
      </c>
      <c r="M348" s="42">
        <f t="shared" si="197"/>
        <v>2400</v>
      </c>
      <c r="N348" s="42">
        <f t="shared" si="197"/>
        <v>4800</v>
      </c>
      <c r="O348" s="42">
        <f t="shared" si="197"/>
        <v>3600</v>
      </c>
      <c r="P348" s="42">
        <f t="shared" si="197"/>
        <v>0</v>
      </c>
      <c r="Q348" s="42">
        <f t="shared" si="197"/>
        <v>0</v>
      </c>
    </row>
    <row r="349" spans="2:17" s="39" customFormat="1" ht="11.4" customHeight="1">
      <c r="B349" s="40"/>
      <c r="C349" s="41" t="s">
        <v>28</v>
      </c>
      <c r="D349" s="40"/>
      <c r="E349" s="40"/>
      <c r="F349" s="40"/>
      <c r="G349" s="42">
        <f>G215+G224+G240</f>
        <v>22801</v>
      </c>
      <c r="H349" s="42">
        <f t="shared" ref="H349:Q349" si="198">H215+H224+H240</f>
        <v>22657</v>
      </c>
      <c r="I349" s="42">
        <f>I215+I224+I240</f>
        <v>22657</v>
      </c>
      <c r="J349" s="42">
        <f t="shared" si="198"/>
        <v>144</v>
      </c>
      <c r="K349" s="42">
        <f t="shared" si="198"/>
        <v>0</v>
      </c>
      <c r="L349" s="42">
        <f t="shared" si="198"/>
        <v>0</v>
      </c>
      <c r="M349" s="42">
        <f t="shared" si="198"/>
        <v>144</v>
      </c>
      <c r="N349" s="42">
        <f t="shared" si="198"/>
        <v>0</v>
      </c>
      <c r="O349" s="42">
        <f t="shared" si="198"/>
        <v>0</v>
      </c>
      <c r="P349" s="42">
        <f t="shared" si="198"/>
        <v>0</v>
      </c>
      <c r="Q349" s="42">
        <f t="shared" si="198"/>
        <v>0</v>
      </c>
    </row>
    <row r="350" spans="2:17" s="39" customFormat="1" ht="11.4" customHeight="1">
      <c r="B350" s="37"/>
      <c r="C350" s="38" t="s">
        <v>211</v>
      </c>
      <c r="D350" s="37"/>
      <c r="E350" s="37"/>
      <c r="F350" s="37"/>
      <c r="G350" s="43">
        <f>SUM(G351:G355)</f>
        <v>779925.049</v>
      </c>
      <c r="H350" s="43">
        <f t="shared" ref="H350:Q350" si="199">SUM(H351:H355)</f>
        <v>173939.71</v>
      </c>
      <c r="I350" s="43">
        <f>SUM(I351:I355)</f>
        <v>346740.408</v>
      </c>
      <c r="J350" s="43">
        <f t="shared" si="199"/>
        <v>252584.64100000003</v>
      </c>
      <c r="K350" s="43">
        <f t="shared" si="199"/>
        <v>172800.69799999997</v>
      </c>
      <c r="L350" s="43">
        <f t="shared" si="199"/>
        <v>191484.84399999998</v>
      </c>
      <c r="M350" s="43">
        <f t="shared" si="199"/>
        <v>26192.207999999999</v>
      </c>
      <c r="N350" s="43">
        <f t="shared" si="199"/>
        <v>2007.5889999999999</v>
      </c>
      <c r="O350" s="43">
        <f t="shared" si="199"/>
        <v>8800</v>
      </c>
      <c r="P350" s="43">
        <f t="shared" si="199"/>
        <v>24100</v>
      </c>
      <c r="Q350" s="43">
        <f t="shared" si="199"/>
        <v>180600</v>
      </c>
    </row>
    <row r="351" spans="2:17" s="39" customFormat="1" ht="11.4" customHeight="1">
      <c r="B351" s="40"/>
      <c r="C351" s="41" t="s">
        <v>23</v>
      </c>
      <c r="D351" s="40"/>
      <c r="E351" s="40"/>
      <c r="F351" s="40"/>
      <c r="G351" s="42">
        <f>G247+G250+G252+G255+G257+G259+G261+G263+G265+G267+G269</f>
        <v>621165.84600000002</v>
      </c>
      <c r="H351" s="42">
        <f t="shared" ref="H351:Q351" si="200">H247+H250+H252+H255+H257+H259+H261+H263+H265+H267+H269</f>
        <v>128552.79399999999</v>
      </c>
      <c r="I351" s="42">
        <f>I247+I250+I252+I255+I257+I259+I261+I263+I265+I267+I269</f>
        <v>230387.99299999999</v>
      </c>
      <c r="J351" s="42">
        <f t="shared" si="200"/>
        <v>210177.85300000003</v>
      </c>
      <c r="K351" s="42">
        <f t="shared" si="200"/>
        <v>101835.19899999999</v>
      </c>
      <c r="L351" s="42">
        <f t="shared" si="200"/>
        <v>155236.79499999998</v>
      </c>
      <c r="M351" s="42">
        <f t="shared" si="200"/>
        <v>20033.469000000001</v>
      </c>
      <c r="N351" s="42">
        <f t="shared" si="200"/>
        <v>2007.5889999999999</v>
      </c>
      <c r="O351" s="42">
        <f t="shared" si="200"/>
        <v>8800</v>
      </c>
      <c r="P351" s="42">
        <f t="shared" si="200"/>
        <v>24100</v>
      </c>
      <c r="Q351" s="42">
        <f t="shared" si="200"/>
        <v>180600</v>
      </c>
    </row>
    <row r="352" spans="2:17" s="39" customFormat="1" ht="11.4" customHeight="1">
      <c r="B352" s="40"/>
      <c r="C352" s="41" t="s">
        <v>36</v>
      </c>
      <c r="D352" s="40"/>
      <c r="E352" s="40"/>
      <c r="F352" s="40"/>
      <c r="G352" s="42">
        <f>G248+G253</f>
        <v>158759.20300000001</v>
      </c>
      <c r="H352" s="42">
        <f t="shared" ref="H352:Q352" si="201">H248+H253</f>
        <v>45386.915999999997</v>
      </c>
      <c r="I352" s="42">
        <f>I248+I253</f>
        <v>116352.41499999999</v>
      </c>
      <c r="J352" s="42">
        <f t="shared" si="201"/>
        <v>42406.788</v>
      </c>
      <c r="K352" s="42">
        <f t="shared" si="201"/>
        <v>70965.498999999996</v>
      </c>
      <c r="L352" s="42">
        <f t="shared" si="201"/>
        <v>36248.048999999999</v>
      </c>
      <c r="M352" s="42">
        <f t="shared" si="201"/>
        <v>6158.7389999999996</v>
      </c>
      <c r="N352" s="42">
        <f t="shared" si="201"/>
        <v>0</v>
      </c>
      <c r="O352" s="42">
        <f t="shared" si="201"/>
        <v>0</v>
      </c>
      <c r="P352" s="42">
        <f t="shared" si="201"/>
        <v>0</v>
      </c>
      <c r="Q352" s="42">
        <f t="shared" si="201"/>
        <v>0</v>
      </c>
    </row>
    <row r="353" spans="2:17" s="39" customFormat="1" ht="11.4" customHeight="1">
      <c r="B353" s="40"/>
      <c r="C353" s="41" t="s">
        <v>197</v>
      </c>
      <c r="D353" s="40"/>
      <c r="E353" s="40"/>
      <c r="F353" s="40"/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</row>
    <row r="354" spans="2:17" s="39" customFormat="1" ht="11.4" customHeight="1">
      <c r="B354" s="40"/>
      <c r="C354" s="41" t="s">
        <v>159</v>
      </c>
      <c r="D354" s="40"/>
      <c r="E354" s="40"/>
      <c r="F354" s="40"/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</row>
    <row r="355" spans="2:17" s="39" customFormat="1" ht="11.4" customHeight="1">
      <c r="B355" s="40"/>
      <c r="C355" s="41" t="s">
        <v>28</v>
      </c>
      <c r="D355" s="40"/>
      <c r="E355" s="40"/>
      <c r="F355" s="40"/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</row>
    <row r="356" spans="2:17" s="39" customFormat="1" ht="11.4" customHeight="1">
      <c r="B356" s="37"/>
      <c r="C356" s="38" t="s">
        <v>192</v>
      </c>
      <c r="D356" s="37"/>
      <c r="E356" s="37"/>
      <c r="F356" s="37"/>
      <c r="G356" s="43">
        <f>SUM(G357:G361)</f>
        <v>334188.647</v>
      </c>
      <c r="H356" s="43">
        <f t="shared" ref="H356:Q356" si="202">SUM(H357:H361)</f>
        <v>51809.406999999999</v>
      </c>
      <c r="I356" s="43">
        <f>SUM(I357:I361)</f>
        <v>54346.699000000001</v>
      </c>
      <c r="J356" s="43">
        <f t="shared" si="202"/>
        <v>207841.948</v>
      </c>
      <c r="K356" s="43">
        <f t="shared" si="202"/>
        <v>2537.2919999999999</v>
      </c>
      <c r="L356" s="43">
        <f t="shared" si="202"/>
        <v>34564.948000000004</v>
      </c>
      <c r="M356" s="43">
        <f t="shared" si="202"/>
        <v>58987</v>
      </c>
      <c r="N356" s="43">
        <f t="shared" si="202"/>
        <v>31490</v>
      </c>
      <c r="O356" s="43">
        <f t="shared" si="202"/>
        <v>51800</v>
      </c>
      <c r="P356" s="43">
        <f t="shared" si="202"/>
        <v>31000</v>
      </c>
      <c r="Q356" s="43">
        <f t="shared" si="202"/>
        <v>72000</v>
      </c>
    </row>
    <row r="357" spans="2:17" s="39" customFormat="1" ht="11.4" customHeight="1">
      <c r="B357" s="40"/>
      <c r="C357" s="41" t="s">
        <v>23</v>
      </c>
      <c r="D357" s="40"/>
      <c r="E357" s="40"/>
      <c r="F357" s="40"/>
      <c r="G357" s="42">
        <f t="shared" ref="G357:Q357" si="203">G272+G274+G277+G279+G281</f>
        <v>282883.647</v>
      </c>
      <c r="H357" s="42">
        <f t="shared" si="203"/>
        <v>51809.406999999999</v>
      </c>
      <c r="I357" s="42">
        <f>I272+I274+I277+I279+I281</f>
        <v>54346.699000000001</v>
      </c>
      <c r="J357" s="42">
        <f t="shared" si="203"/>
        <v>156536.948</v>
      </c>
      <c r="K357" s="42">
        <f t="shared" si="203"/>
        <v>2537.2919999999999</v>
      </c>
      <c r="L357" s="42">
        <f t="shared" si="203"/>
        <v>24334.948</v>
      </c>
      <c r="M357" s="42">
        <f t="shared" si="203"/>
        <v>43257</v>
      </c>
      <c r="N357" s="42">
        <f t="shared" si="203"/>
        <v>20160</v>
      </c>
      <c r="O357" s="42">
        <f t="shared" si="203"/>
        <v>37785</v>
      </c>
      <c r="P357" s="42">
        <f t="shared" si="203"/>
        <v>31000</v>
      </c>
      <c r="Q357" s="42">
        <f t="shared" si="203"/>
        <v>72000</v>
      </c>
    </row>
    <row r="358" spans="2:17" s="39" customFormat="1" ht="11.4" customHeight="1">
      <c r="B358" s="40"/>
      <c r="C358" s="41" t="s">
        <v>36</v>
      </c>
      <c r="D358" s="40"/>
      <c r="E358" s="40"/>
      <c r="F358" s="40"/>
      <c r="G358" s="42">
        <f>G282</f>
        <v>28305</v>
      </c>
      <c r="H358" s="42">
        <f t="shared" ref="H358:Q358" si="204">H282</f>
        <v>0</v>
      </c>
      <c r="I358" s="42">
        <f>I282</f>
        <v>0</v>
      </c>
      <c r="J358" s="42">
        <f t="shared" si="204"/>
        <v>28305</v>
      </c>
      <c r="K358" s="42">
        <f t="shared" si="204"/>
        <v>0</v>
      </c>
      <c r="L358" s="42">
        <f t="shared" si="204"/>
        <v>130</v>
      </c>
      <c r="M358" s="42">
        <f t="shared" si="204"/>
        <v>2830</v>
      </c>
      <c r="N358" s="42">
        <f t="shared" si="204"/>
        <v>11330</v>
      </c>
      <c r="O358" s="42">
        <f t="shared" si="204"/>
        <v>14015</v>
      </c>
      <c r="P358" s="42">
        <f t="shared" si="204"/>
        <v>0</v>
      </c>
      <c r="Q358" s="42">
        <f t="shared" si="204"/>
        <v>0</v>
      </c>
    </row>
    <row r="359" spans="2:17" s="39" customFormat="1" ht="11.4" customHeight="1">
      <c r="B359" s="40"/>
      <c r="C359" s="41" t="s">
        <v>197</v>
      </c>
      <c r="D359" s="40"/>
      <c r="E359" s="40"/>
      <c r="F359" s="40"/>
      <c r="G359" s="42">
        <f>G275</f>
        <v>23000</v>
      </c>
      <c r="H359" s="42">
        <f t="shared" ref="H359:Q359" si="205">H275</f>
        <v>0</v>
      </c>
      <c r="I359" s="42">
        <f>I275</f>
        <v>0</v>
      </c>
      <c r="J359" s="42">
        <f t="shared" si="205"/>
        <v>23000</v>
      </c>
      <c r="K359" s="42">
        <f t="shared" si="205"/>
        <v>0</v>
      </c>
      <c r="L359" s="42">
        <f t="shared" si="205"/>
        <v>10100</v>
      </c>
      <c r="M359" s="42">
        <f t="shared" si="205"/>
        <v>12900</v>
      </c>
      <c r="N359" s="42">
        <f t="shared" si="205"/>
        <v>0</v>
      </c>
      <c r="O359" s="42">
        <f t="shared" si="205"/>
        <v>0</v>
      </c>
      <c r="P359" s="42">
        <f t="shared" si="205"/>
        <v>0</v>
      </c>
      <c r="Q359" s="42">
        <f t="shared" si="205"/>
        <v>0</v>
      </c>
    </row>
    <row r="360" spans="2:17" s="39" customFormat="1" ht="11.4" customHeight="1">
      <c r="B360" s="40"/>
      <c r="C360" s="41" t="s">
        <v>159</v>
      </c>
      <c r="D360" s="40"/>
      <c r="E360" s="40"/>
      <c r="F360" s="40"/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</row>
    <row r="361" spans="2:17" s="39" customFormat="1" ht="11.4" customHeight="1">
      <c r="B361" s="40"/>
      <c r="C361" s="41" t="s">
        <v>28</v>
      </c>
      <c r="D361" s="40"/>
      <c r="E361" s="40"/>
      <c r="F361" s="40"/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0</v>
      </c>
      <c r="Q361" s="42">
        <v>0</v>
      </c>
    </row>
  </sheetData>
  <customSheetViews>
    <customSheetView guid="{C754F5F7-F520-4D29-91D6-DEE22E17C4FE}" showPageBreaks="1" printArea="1" view="pageBreakPreview">
      <pane xSplit="7" ySplit="4" topLeftCell="H20" activePane="bottomRight" state="frozen"/>
      <selection pane="bottomRight" activeCell="L48" sqref="L48"/>
      <rowBreaks count="1" manualBreakCount="1">
        <brk id="291" max="15" man="1"/>
      </rowBreaks>
      <pageMargins left="0.35433070866141736" right="0.27559055118110237" top="0.47244094488188981" bottom="0.55118110236220474" header="0.31496062992125984" footer="0.31496062992125984"/>
      <pageSetup paperSize="9" scale="81" fitToHeight="12" orientation="landscape" horizontalDpi="4294967293" r:id="rId1"/>
    </customSheetView>
    <customSheetView guid="{68F103B9-B02E-4D94-9C32-DA9263AFAF10}" showPageBreaks="1" printArea="1" view="pageBreakPreview">
      <pane xSplit="7" ySplit="4" topLeftCell="J67" activePane="bottomRight" state="frozen"/>
      <selection pane="bottomRight" activeCell="L71" sqref="L71"/>
      <rowBreaks count="1" manualBreakCount="1">
        <brk id="281" max="15" man="1"/>
      </rowBreaks>
      <pageMargins left="0.35433070866141736" right="0.27559055118110237" top="0.47244094488188981" bottom="0.55118110236220474" header="0.31496062992125984" footer="0.31496062992125984"/>
      <pageSetup paperSize="9" scale="94" fitToHeight="12" orientation="landscape" horizontalDpi="4294967293" r:id="rId2"/>
    </customSheetView>
    <customSheetView guid="{3F51ADDD-42D5-47A3-B06A-2EB28D682C19}" showPageBreaks="1" printArea="1" hiddenColumns="1" view="pageBreakPreview">
      <pane xSplit="6" ySplit="4" topLeftCell="H5" activePane="bottomRight" state="frozen"/>
      <selection pane="bottomRight" activeCell="C132" sqref="C132"/>
      <rowBreaks count="1" manualBreakCount="1">
        <brk id="280" max="15" man="1"/>
      </rowBreaks>
      <pageMargins left="0.31496062992125984" right="0.27559055118110237" top="0.47244094488188981" bottom="0.55118110236220474" header="0.31496062992125984" footer="0.31496062992125984"/>
      <pageSetup paperSize="9" scale="97" fitToHeight="12" orientation="landscape" horizontalDpi="4294967293" r:id="rId3"/>
    </customSheetView>
    <customSheetView guid="{326A6FD8-10D9-49EA-91A0-B174F7C5741A}" showPageBreaks="1" printArea="1" hiddenColumns="1" view="pageBreakPreview">
      <pane xSplit="6" ySplit="4" topLeftCell="H260" activePane="bottomRight" state="frozen"/>
      <selection pane="bottomRight" activeCell="O269" sqref="O269"/>
      <rowBreaks count="4" manualBreakCount="4">
        <brk id="97" max="15" man="1"/>
        <brk id="186" max="15" man="1"/>
        <brk id="216" max="15" man="1"/>
        <brk id="321" max="15" man="1"/>
      </rowBreaks>
      <pageMargins left="0.15748031496062992" right="0.15748031496062992" top="0.35433070866141736" bottom="0.39370078740157483" header="0.35433070866141736" footer="0.15748031496062992"/>
      <pageSetup paperSize="9" fitToHeight="12" orientation="landscape" horizontalDpi="4294967293" r:id="rId4"/>
      <headerFooter>
        <oddFooter>&amp;C&amp;P&amp;R&amp;D</oddFooter>
      </headerFooter>
    </customSheetView>
    <customSheetView guid="{25132A7F-F72A-4E62-9883-326302087E8C}" showPageBreaks="1" printArea="1" view="pageBreakPreview">
      <pane xSplit="7" ySplit="4" topLeftCell="H20" activePane="bottomRight" state="frozen"/>
      <selection pane="bottomRight" activeCell="A48" sqref="A48:XFD48"/>
      <rowBreaks count="1" manualBreakCount="1">
        <brk id="283" max="15" man="1"/>
      </rowBreaks>
      <pageMargins left="0.35433070866141736" right="0.27559055118110237" top="0.47244094488188981" bottom="0.55118110236220474" header="0.31496062992125984" footer="0.31496062992125984"/>
      <pageSetup paperSize="9" scale="94" fitToHeight="12" orientation="landscape" horizontalDpi="4294967293" r:id="rId5"/>
    </customSheetView>
    <customSheetView guid="{1578BFAC-6750-4D8F-9C0C-811DABC3BF40}" showPageBreaks="1" printArea="1" hiddenColumns="1" view="pageBreakPreview">
      <pane xSplit="6" ySplit="4" topLeftCell="H260" activePane="bottomRight" state="frozen"/>
      <selection pane="bottomRight" activeCell="D271" sqref="D271"/>
      <rowBreaks count="4" manualBreakCount="4">
        <brk id="97" max="15" man="1"/>
        <brk id="186" max="15" man="1"/>
        <brk id="216" max="15" man="1"/>
        <brk id="321" max="15" man="1"/>
      </rowBreaks>
      <pageMargins left="0.15748031496062992" right="0.15748031496062992" top="0.35433070866141736" bottom="0.39370078740157483" header="0.35433070866141736" footer="0.15748031496062992"/>
      <pageSetup paperSize="9" fitToHeight="12" orientation="landscape" horizontalDpi="4294967293" r:id="rId6"/>
      <headerFooter>
        <oddFooter>&amp;C&amp;P&amp;R&amp;D</oddFooter>
      </headerFooter>
    </customSheetView>
    <customSheetView guid="{5BE5C1AE-67B7-46EF-92E8-6D2403EF82AB}" showPageBreaks="1" printArea="1" view="pageBreakPreview">
      <pane xSplit="7" ySplit="4" topLeftCell="H109" activePane="bottomRight" state="frozen"/>
      <selection pane="bottomRight" activeCell="L118" sqref="L118"/>
      <rowBreaks count="3" manualBreakCount="3">
        <brk id="43" max="15" man="1"/>
        <brk id="82" max="15" man="1"/>
        <brk id="286" max="15" man="1"/>
      </rowBreaks>
      <pageMargins left="0.35433070866141736" right="0.27559055118110237" top="0.47244094488188981" bottom="0.55118110236220474" header="0.31496062992125984" footer="0.31496062992125984"/>
      <pageSetup paperSize="9" scale="80" fitToHeight="12" orientation="landscape" horizontalDpi="4294967293" r:id="rId7"/>
    </customSheetView>
  </customSheetViews>
  <mergeCells count="20">
    <mergeCell ref="C3:C4"/>
    <mergeCell ref="D3:D4"/>
    <mergeCell ref="E3:E4"/>
    <mergeCell ref="F3:Q3"/>
    <mergeCell ref="O1:Q1"/>
    <mergeCell ref="B2:Q2"/>
    <mergeCell ref="B3:B4"/>
    <mergeCell ref="B6:Q6"/>
    <mergeCell ref="B107:Q107"/>
    <mergeCell ref="B138:Q138"/>
    <mergeCell ref="B152:Q152"/>
    <mergeCell ref="B163:Q163"/>
    <mergeCell ref="B245:Q245"/>
    <mergeCell ref="B270:Q270"/>
    <mergeCell ref="B283:Q283"/>
    <mergeCell ref="B170:Q170"/>
    <mergeCell ref="B191:Q191"/>
    <mergeCell ref="B198:Q198"/>
    <mergeCell ref="B206:Q206"/>
    <mergeCell ref="B211:Q211"/>
  </mergeCells>
  <printOptions horizontalCentered="1"/>
  <pageMargins left="0.31496062992125984" right="0.27559055118110237" top="0.6692913385826772" bottom="0.35433070866141736" header="0.23622047244094491" footer="0.15748031496062992"/>
  <pageSetup paperSize="9" scale="94" fitToWidth="0" fitToHeight="0" orientation="landscape" useFirstPageNumber="1" horizontalDpi="4294967293" r:id="rId8"/>
  <headerFooter>
    <oddFooter>&amp;C&amp;P</oddFooter>
  </headerFooter>
  <rowBreaks count="9" manualBreakCount="9">
    <brk id="32" min="1" max="16" man="1"/>
    <brk id="64" min="1" max="16" man="1"/>
    <brk id="97" min="1" max="16" man="1"/>
    <brk id="127" min="1" max="16" man="1"/>
    <brk id="160" min="1" max="16" man="1"/>
    <brk id="190" min="1" max="16" man="1"/>
    <brk id="220" min="1" max="16" man="1"/>
    <brk id="282" min="1" max="16" man="1"/>
    <brk id="325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WPI 2015-2019</vt:lpstr>
      <vt:lpstr>'WPI 2015-2019'!Obszar_wydruku</vt:lpstr>
      <vt:lpstr>'WPI 2015-2019'!Tytuły_wydruku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umewka02</dc:creator>
  <cp:lastModifiedBy>umbawo01</cp:lastModifiedBy>
  <cp:lastPrinted>2014-12-17T12:26:52Z</cp:lastPrinted>
  <dcterms:created xsi:type="dcterms:W3CDTF">2014-10-20T07:34:16Z</dcterms:created>
  <dcterms:modified xsi:type="dcterms:W3CDTF">2014-12-17T12:28:51Z</dcterms:modified>
</cp:coreProperties>
</file>